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/>
  </bookViews>
  <sheets>
    <sheet name="Summary " sheetId="1" r:id="rId1"/>
    <sheet name="Pallet 1" sheetId="2" r:id="rId2"/>
    <sheet name="Pallet 2" sheetId="3" r:id="rId3"/>
    <sheet name="Pallet 3" sheetId="4" r:id="rId4"/>
    <sheet name="Pallet 4" sheetId="5" r:id="rId5"/>
    <sheet name="Pallet 5" sheetId="6" r:id="rId6"/>
    <sheet name="Pallet 6" sheetId="7" r:id="rId7"/>
    <sheet name="Pallet 7" sheetId="8" r:id="rId8"/>
    <sheet name="Pallet 8" sheetId="9" r:id="rId9"/>
    <sheet name="Pallet 9" sheetId="10" r:id="rId10"/>
    <sheet name="Pallet 10" sheetId="11" r:id="rId11"/>
    <sheet name="Pallet 11" sheetId="12" r:id="rId12"/>
    <sheet name="Pallet 12" sheetId="13" r:id="rId13"/>
    <sheet name="Pallet 13" sheetId="14" r:id="rId14"/>
    <sheet name="Pallet 14" sheetId="15" r:id="rId15"/>
    <sheet name="Pallet 15" sheetId="17" r:id="rId16"/>
    <sheet name="Pallet 16" sheetId="34" r:id="rId17"/>
    <sheet name="Pallet 17" sheetId="35" r:id="rId18"/>
    <sheet name="Pallet 18" sheetId="36" r:id="rId19"/>
    <sheet name="Pallet 19" sheetId="37" r:id="rId20"/>
    <sheet name="Pallet 20" sheetId="38" r:id="rId21"/>
    <sheet name="Pallet 21" sheetId="39" r:id="rId22"/>
    <sheet name="Pallet 22" sheetId="40" r:id="rId23"/>
  </sheets>
  <calcPr calcId="181029"/>
</workbook>
</file>

<file path=xl/calcChain.xml><?xml version="1.0" encoding="utf-8"?>
<calcChain xmlns="http://schemas.openxmlformats.org/spreadsheetml/2006/main">
  <c r="B24" i="1" l="1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12" i="40"/>
  <c r="L11" i="40"/>
  <c r="L10" i="40"/>
  <c r="L9" i="40"/>
  <c r="L8" i="40"/>
  <c r="L7" i="40"/>
  <c r="L6" i="40"/>
  <c r="L5" i="40"/>
  <c r="L4" i="40"/>
  <c r="L3" i="40"/>
  <c r="L2" i="40"/>
  <c r="L48" i="39"/>
  <c r="L47" i="39"/>
  <c r="L46" i="39"/>
  <c r="L45" i="39"/>
  <c r="L44" i="39"/>
  <c r="L43" i="39"/>
  <c r="L42" i="39"/>
  <c r="L41" i="39"/>
  <c r="L40" i="39"/>
  <c r="L39" i="39"/>
  <c r="L38" i="39"/>
  <c r="L37" i="39"/>
  <c r="L36" i="39"/>
  <c r="L35" i="39"/>
  <c r="L34" i="39"/>
  <c r="L33" i="39"/>
  <c r="L32" i="39"/>
  <c r="L31" i="39"/>
  <c r="L30" i="39"/>
  <c r="L29" i="39"/>
  <c r="L28" i="39"/>
  <c r="L27" i="39"/>
  <c r="L26" i="39"/>
  <c r="L25" i="39"/>
  <c r="L24" i="39"/>
  <c r="L23" i="39"/>
  <c r="L22" i="39"/>
  <c r="L21" i="39"/>
  <c r="L20" i="39"/>
  <c r="L19" i="39"/>
  <c r="L18" i="39"/>
  <c r="L17" i="39"/>
  <c r="L16" i="39"/>
  <c r="L15" i="39"/>
  <c r="L14" i="39"/>
  <c r="L13" i="39"/>
  <c r="L12" i="39"/>
  <c r="L11" i="39"/>
  <c r="L10" i="39"/>
  <c r="L9" i="39"/>
  <c r="L8" i="39"/>
  <c r="L7" i="39"/>
  <c r="L6" i="39"/>
  <c r="L5" i="39"/>
  <c r="L4" i="39"/>
  <c r="L3" i="39"/>
  <c r="L2" i="39"/>
  <c r="A24" i="1"/>
  <c r="L32" i="38"/>
  <c r="L31" i="38"/>
  <c r="L30" i="38"/>
  <c r="L29" i="38"/>
  <c r="L28" i="38"/>
  <c r="L27" i="38"/>
  <c r="L26" i="38"/>
  <c r="L25" i="38"/>
  <c r="L24" i="38"/>
  <c r="L23" i="38"/>
  <c r="L22" i="38"/>
  <c r="L21" i="38"/>
  <c r="L20" i="38"/>
  <c r="L19" i="38"/>
  <c r="L18" i="38"/>
  <c r="L17" i="38"/>
  <c r="L16" i="38"/>
  <c r="L15" i="38"/>
  <c r="L14" i="38"/>
  <c r="L13" i="38"/>
  <c r="L12" i="38"/>
  <c r="L11" i="38"/>
  <c r="L10" i="38"/>
  <c r="L9" i="38"/>
  <c r="L8" i="38"/>
  <c r="L7" i="38"/>
  <c r="L6" i="38"/>
  <c r="L5" i="38"/>
  <c r="L4" i="38"/>
  <c r="L3" i="38"/>
  <c r="L2" i="38"/>
  <c r="L50" i="37"/>
  <c r="L49" i="37"/>
  <c r="L48" i="37"/>
  <c r="L47" i="37"/>
  <c r="L46" i="37"/>
  <c r="L45" i="37"/>
  <c r="L44" i="37"/>
  <c r="L43" i="37"/>
  <c r="L42" i="37"/>
  <c r="L41" i="37"/>
  <c r="L40" i="37"/>
  <c r="L39" i="37"/>
  <c r="L38" i="37"/>
  <c r="L37" i="37"/>
  <c r="L36" i="37"/>
  <c r="L35" i="37"/>
  <c r="L34" i="37"/>
  <c r="L33" i="37"/>
  <c r="L32" i="37"/>
  <c r="L31" i="37"/>
  <c r="L30" i="37"/>
  <c r="L29" i="37"/>
  <c r="L28" i="37"/>
  <c r="L27" i="37"/>
  <c r="L26" i="37"/>
  <c r="L25" i="37"/>
  <c r="L24" i="37"/>
  <c r="L23" i="37"/>
  <c r="L22" i="37"/>
  <c r="L21" i="37"/>
  <c r="L20" i="37"/>
  <c r="L19" i="37"/>
  <c r="L18" i="37"/>
  <c r="L17" i="37"/>
  <c r="L16" i="37"/>
  <c r="L15" i="37"/>
  <c r="L14" i="37"/>
  <c r="L13" i="37"/>
  <c r="L12" i="37"/>
  <c r="L11" i="37"/>
  <c r="L10" i="37"/>
  <c r="L9" i="37"/>
  <c r="L8" i="37"/>
  <c r="L7" i="37"/>
  <c r="L6" i="37"/>
  <c r="L5" i="37"/>
  <c r="L4" i="37"/>
  <c r="L3" i="37"/>
  <c r="L2" i="37"/>
  <c r="L26" i="36"/>
  <c r="L25" i="36"/>
  <c r="L24" i="36"/>
  <c r="L23" i="36"/>
  <c r="L22" i="36"/>
  <c r="L21" i="36"/>
  <c r="L20" i="36"/>
  <c r="L19" i="36"/>
  <c r="L18" i="36"/>
  <c r="L17" i="36"/>
  <c r="L16" i="36"/>
  <c r="L15" i="36"/>
  <c r="L14" i="36"/>
  <c r="L13" i="36"/>
  <c r="L12" i="36"/>
  <c r="L11" i="36"/>
  <c r="L10" i="36"/>
  <c r="L9" i="36"/>
  <c r="L8" i="36"/>
  <c r="L7" i="36"/>
  <c r="L6" i="36"/>
  <c r="L5" i="36"/>
  <c r="L4" i="36"/>
  <c r="L3" i="36"/>
  <c r="L2" i="36"/>
  <c r="L22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L5" i="35"/>
  <c r="L4" i="35"/>
  <c r="L3" i="35"/>
  <c r="L2" i="35"/>
  <c r="L36" i="34"/>
  <c r="L35" i="34"/>
  <c r="L34" i="34"/>
  <c r="L33" i="34"/>
  <c r="L32" i="34"/>
  <c r="L31" i="34"/>
  <c r="L30" i="34"/>
  <c r="L29" i="34"/>
  <c r="L28" i="34"/>
  <c r="L27" i="34"/>
  <c r="L26" i="34"/>
  <c r="L25" i="34"/>
  <c r="L24" i="34"/>
  <c r="L23" i="34"/>
  <c r="L22" i="34"/>
  <c r="L21" i="34"/>
  <c r="L20" i="34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L4" i="34"/>
  <c r="L3" i="34"/>
  <c r="L2" i="34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L4" i="17"/>
  <c r="L3" i="17"/>
  <c r="L2" i="17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4" i="15"/>
  <c r="L3" i="15"/>
  <c r="L2" i="15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3" i="14"/>
  <c r="L2" i="14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" i="13"/>
  <c r="L2" i="13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3" i="12"/>
  <c r="L2" i="12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L2" i="10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2" i="9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L2" i="8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" i="7"/>
  <c r="L12" i="6"/>
  <c r="L11" i="6"/>
  <c r="L10" i="6"/>
  <c r="L9" i="6"/>
  <c r="L8" i="6"/>
  <c r="L7" i="6"/>
  <c r="L6" i="6"/>
  <c r="L5" i="6"/>
  <c r="L4" i="6"/>
  <c r="L3" i="6"/>
  <c r="L2" i="6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</calcChain>
</file>

<file path=xl/sharedStrings.xml><?xml version="1.0" encoding="utf-8"?>
<sst xmlns="http://schemas.openxmlformats.org/spreadsheetml/2006/main" count="6244" uniqueCount="2460">
  <si>
    <t>DKNY Modern Bloom 50 x 84 Curtain Linen 50x84</t>
  </si>
  <si>
    <t>WZD788192W0G</t>
  </si>
  <si>
    <t>750105168975</t>
  </si>
  <si>
    <t>Tommy Bahama Home Ultimate Comfort Set of Two St White Queen</t>
  </si>
  <si>
    <t>PI50011Q</t>
  </si>
  <si>
    <t>29927440232</t>
  </si>
  <si>
    <t>Sun Zero Sun Zero Preston 40 x 63 Gro Black 40x63</t>
  </si>
  <si>
    <t>25695992904</t>
  </si>
  <si>
    <t>Calvin Klein Monogram Logo Firm Support Cot White</t>
  </si>
  <si>
    <t>99290-5679</t>
  </si>
  <si>
    <t>CALVIN KLEIN/HOLLANDER SLEEP PROD</t>
  </si>
  <si>
    <t>COTTON COVER; POLYESTER FIBER FILL</t>
  </si>
  <si>
    <t>750105134444</t>
  </si>
  <si>
    <t>Charter Club White Down Heavyweight King Co White King</t>
  </si>
  <si>
    <t>FEDC0830WK</t>
  </si>
  <si>
    <t>732997906446</t>
  </si>
  <si>
    <t>Hotel Collection Hotel Collection Terra King Co Grey King</t>
  </si>
  <si>
    <t>100070643KG</t>
  </si>
  <si>
    <t>FRONT: COTTON/POLYESTER BLEND, BACK: 100% COTTON, FILL: 100% POLYESTER</t>
  </si>
  <si>
    <t>190945013545</t>
  </si>
  <si>
    <t>Levtex Spruce Red Paisley Reversible Red King</t>
  </si>
  <si>
    <t>L40803LKS</t>
  </si>
  <si>
    <t>LEVTEX BABY/LEVTEX LLC</t>
  </si>
  <si>
    <t>732997906453</t>
  </si>
  <si>
    <t>Hotel Collection Hotel Collection Terra FullQu Grey FullQueen</t>
  </si>
  <si>
    <t>100070643QN</t>
  </si>
  <si>
    <t>734737637030</t>
  </si>
  <si>
    <t>Sunham Morgan2 Blue Q CS Blue Queen</t>
  </si>
  <si>
    <t>671131810013</t>
  </si>
  <si>
    <t>Design Art Designart Colored Feathers Se White</t>
  </si>
  <si>
    <t>BED18905-T</t>
  </si>
  <si>
    <t>DESIGNART</t>
  </si>
  <si>
    <t>733001738473</t>
  </si>
  <si>
    <t>Hotel Collection Willow Bloom King Duvet, Creat Beige King</t>
  </si>
  <si>
    <t>100112262KG</t>
  </si>
  <si>
    <t>706258051411</t>
  </si>
  <si>
    <t>Charter Club Damask Cotton 210-Thread Count White King</t>
  </si>
  <si>
    <t>DSKQLTCKGWH</t>
  </si>
  <si>
    <t>733001880868</t>
  </si>
  <si>
    <t>Charter Club Medallion 3-Pc. FullQueen Com Blue FullQueen</t>
  </si>
  <si>
    <t>100108506FQ</t>
  </si>
  <si>
    <t>732999571413</t>
  </si>
  <si>
    <t>Charter Club Cotton 700-Thread Count 4-Pc. Light Blue Queen</t>
  </si>
  <si>
    <t>100029145QN</t>
  </si>
  <si>
    <t>CHARTER CLUB-EDI/BIRLA CENTURY</t>
  </si>
  <si>
    <t>86569432414</t>
  </si>
  <si>
    <t>JLA Home Hudson 9-Pc. King Comforter Se Greycharcoal King</t>
  </si>
  <si>
    <t>MCH10-2184</t>
  </si>
  <si>
    <t>733001495345</t>
  </si>
  <si>
    <t>Martha Stewart Collection Reversible 3-Pc. Watercolor Da Blue FullQueen</t>
  </si>
  <si>
    <t>100099636FQ</t>
  </si>
  <si>
    <t>732997493199</t>
  </si>
  <si>
    <t>Charter Club Damask Thin Stripe Cotton 550- Granite Dark Grey FullQueen</t>
  </si>
  <si>
    <t>100068874FQ</t>
  </si>
  <si>
    <t>732998305385</t>
  </si>
  <si>
    <t>Charter Club Damask Designs Blossom 300-Thr Coral FullQueen</t>
  </si>
  <si>
    <t>100079943FQ</t>
  </si>
  <si>
    <t>SHELL: COTTON; POLYESTER FILL; THREAD COUNT: 300</t>
  </si>
  <si>
    <t>191790027848</t>
  </si>
  <si>
    <t>Fairfield Square Collection Hampton Cotton 650-Thread Coun White Queen</t>
  </si>
  <si>
    <t>24002103001AQT</t>
  </si>
  <si>
    <t>733001221968</t>
  </si>
  <si>
    <t>Martha Stewart Collection Quilted Medallion FullQueen Q White FullQueen</t>
  </si>
  <si>
    <t>100106476FQ</t>
  </si>
  <si>
    <t>732999837151</t>
  </si>
  <si>
    <t>Charter Club Dual Warmth Two-in-One FullQu White FullQueen</t>
  </si>
  <si>
    <t>100105523FQ</t>
  </si>
  <si>
    <t>734737620261</t>
  </si>
  <si>
    <t>Sunham Paris 12-Pc. Reversible Comfor Gray King</t>
  </si>
  <si>
    <t>42694343582</t>
  </si>
  <si>
    <t>Mohawk Mohawk Wellington 2 6 L X 4 Sage Green 30 x 50</t>
  </si>
  <si>
    <t>Y3226-436-030050</t>
  </si>
  <si>
    <t>AMERICAN RUG-MOHAWK INDUSTRIES</t>
  </si>
  <si>
    <t>25773009326</t>
  </si>
  <si>
    <t>Parkland Collection Parkland Collection Camila Tra Aqua 18x18</t>
  </si>
  <si>
    <t>PILE11210P</t>
  </si>
  <si>
    <t>PARKLAND COLLECTION LLC</t>
  </si>
  <si>
    <t>COTTON, VISCOSE</t>
  </si>
  <si>
    <t>191790024410</t>
  </si>
  <si>
    <t>Fairfield Square Collection Brookline 1400-Thread Count 6- Ivory Queen</t>
  </si>
  <si>
    <t>23302103003AQT</t>
  </si>
  <si>
    <t>191790024403</t>
  </si>
  <si>
    <t>Fairfield Square Collection Brookline 1400-Thread Count 6- Light Grey Queen</t>
  </si>
  <si>
    <t>23302103200AQT</t>
  </si>
  <si>
    <t>191790022249</t>
  </si>
  <si>
    <t>AQ Textiles Optimum Performance 625-Thread Lavender King</t>
  </si>
  <si>
    <t>23102104071AQT</t>
  </si>
  <si>
    <t>86569285294</t>
  </si>
  <si>
    <t>Mi Zone Mi Zone Sophia Scalloped 4-Pie Pink FullQueen</t>
  </si>
  <si>
    <t>MZ10-0602</t>
  </si>
  <si>
    <t>689439136650</t>
  </si>
  <si>
    <t>Hotel Collection Lithos Queen Bedskirt Grey Queen</t>
  </si>
  <si>
    <t>100040526QN</t>
  </si>
  <si>
    <t>42694343421</t>
  </si>
  <si>
    <t>Mohawk Mohawk Wellington 2 L X 3 4 Sage Green 24 x 40</t>
  </si>
  <si>
    <t>Y3226-436-024040</t>
  </si>
  <si>
    <t>40X24/2</t>
  </si>
  <si>
    <t>732998797203</t>
  </si>
  <si>
    <t>Charter Club Damask Stripe Cotton 550-Threa Neo Natural Queen Fitted</t>
  </si>
  <si>
    <t>100088731QN</t>
  </si>
  <si>
    <t>788904130664</t>
  </si>
  <si>
    <t>Royal Luxe Royal Luxe Microfiber Color Do White FullQueen</t>
  </si>
  <si>
    <t>675716586089</t>
  </si>
  <si>
    <t>Martha Stewart Collection Martha Stewart Collection Soft Blue Fog King</t>
  </si>
  <si>
    <t>MSFLEECEKLB</t>
  </si>
  <si>
    <t>706258616351</t>
  </si>
  <si>
    <t>Martha Stewart Collection Essentials Full Waterproof Mat White Full</t>
  </si>
  <si>
    <t>100058084FU</t>
  </si>
  <si>
    <t>TOP: 300TC 100% COTTON; BACK: POLYURETHANE; SKIRT: POLYESTER</t>
  </si>
  <si>
    <t>734737581371</t>
  </si>
  <si>
    <t>Sunham Geo 2-Pc. Reversible Twin Comf Grey Twin</t>
  </si>
  <si>
    <t>766360449483</t>
  </si>
  <si>
    <t>Hotel Collection Turkish 30 x 56 Bath Towel White Bath Towels</t>
  </si>
  <si>
    <t>HTLTURBWHT</t>
  </si>
  <si>
    <t>675716879082</t>
  </si>
  <si>
    <t>Intelligent Design Intelligent Design Microfiber Teal Full</t>
  </si>
  <si>
    <t>ID20-1082</t>
  </si>
  <si>
    <t>733001738510</t>
  </si>
  <si>
    <t>Hotel Collection Willow Bloom Standard Sham, Cr Beige Standard Sham</t>
  </si>
  <si>
    <t>100112265SD</t>
  </si>
  <si>
    <t>STANDARD</t>
  </si>
  <si>
    <t>847636044486</t>
  </si>
  <si>
    <t>Mytex Toile 2-Pc. Reversible Twin Co Navywhite Twin</t>
  </si>
  <si>
    <t>TOILE2PCT</t>
  </si>
  <si>
    <t>MYTEX LLC</t>
  </si>
  <si>
    <t>25521184671</t>
  </si>
  <si>
    <t>Martha Stewart Collection Wont Go Flat Core Extra Firm White Standard</t>
  </si>
  <si>
    <t>18467FN</t>
  </si>
  <si>
    <t>MARTHA STEWART-MMG/HOLLANDER</t>
  </si>
  <si>
    <t>96675639737</t>
  </si>
  <si>
    <t>SensorGel Any Position King Pillow White King</t>
  </si>
  <si>
    <t>COVER: 250-THREAD COUNT COTTON SATEEN; FILL: HYPOALLERGENIC FIBER FILL</t>
  </si>
  <si>
    <t>706254463034</t>
  </si>
  <si>
    <t>Hotel Collection Ultimate MicroCotton 30 x 5 Dune Bath Towels</t>
  </si>
  <si>
    <t>HTLMCBDNE</t>
  </si>
  <si>
    <t>706258050049</t>
  </si>
  <si>
    <t>Charter Club Damask Supima Cotton 550-Threa Parchment Beige Standard Pillowcases</t>
  </si>
  <si>
    <t>DLLSLSPCPAR</t>
  </si>
  <si>
    <t>735732236266</t>
  </si>
  <si>
    <t>Seventh Studio Sphere 3-Piece Accessory Set Rosette</t>
  </si>
  <si>
    <t>BB7-BAT-3BTH-MA-RSTE</t>
  </si>
  <si>
    <t>42694347542</t>
  </si>
  <si>
    <t>Charter Club Classic Bath Rug Sapphire 17 x 24</t>
  </si>
  <si>
    <t>Y322200930</t>
  </si>
  <si>
    <t>CHARTER CLUB-MMG</t>
  </si>
  <si>
    <t>NYLON; BACK: LATEX</t>
  </si>
  <si>
    <t>706257490969</t>
  </si>
  <si>
    <t>Martha Stewart Collection Spa Tub Mat Duckling</t>
  </si>
  <si>
    <t>MSPLSHTDCL</t>
  </si>
  <si>
    <t>706254463294</t>
  </si>
  <si>
    <t>Hotel Collection Ultimate MicroCotton 16 x 30 Dune Hand Towels</t>
  </si>
  <si>
    <t>HTLMCHDNE</t>
  </si>
  <si>
    <t>193842119303</t>
  </si>
  <si>
    <t>J Queen New York Lazaro Queen 4 Piece Comforter Indigo Queen</t>
  </si>
  <si>
    <t>2669065QCS</t>
  </si>
  <si>
    <t>726895380095</t>
  </si>
  <si>
    <t>Hotel Collection Plume FullQueen Comforter White FullQueen</t>
  </si>
  <si>
    <t>1001517FQ</t>
  </si>
  <si>
    <t>706257253694</t>
  </si>
  <si>
    <t>Hotel Collection 680 Thread-Count Queen Duvet C White FullQueen</t>
  </si>
  <si>
    <t>68W11QD790</t>
  </si>
  <si>
    <t>732999782963</t>
  </si>
  <si>
    <t>Martha Stewart Collection Gilded Floral Velvet FullQuee Tan FullQueen</t>
  </si>
  <si>
    <t>100106016FQ</t>
  </si>
  <si>
    <t>733001448433</t>
  </si>
  <si>
    <t>Charter Club Damask Stripe Supima Cotton 55 White King Split</t>
  </si>
  <si>
    <t>DLLSTSKSWHT</t>
  </si>
  <si>
    <t>86569101174</t>
  </si>
  <si>
    <t>INKIVY INKIVY Rhea FullQueen 3-Piec Ivorycharcoal FullQueen</t>
  </si>
  <si>
    <t>II12-1040</t>
  </si>
  <si>
    <t>INK &amp; IVY/JLA HOME/E &amp; E CO LTD</t>
  </si>
  <si>
    <t>732998795667</t>
  </si>
  <si>
    <t>Martha Stewart Collection Percale Gray Plaid Reversible Grey King</t>
  </si>
  <si>
    <t>100079424KG</t>
  </si>
  <si>
    <t>841230018072</t>
  </si>
  <si>
    <t>Tempur-Pedic Adaptive Comfort Memory Foam P White Standard</t>
  </si>
  <si>
    <t>TEMPUR-PEDIC NORTH AMERICA INC</t>
  </si>
  <si>
    <t>COVER TOP: POLYESTER/POLYPROPYLENE; FILL: VISCOELASTIC POLYURETHANE FOAM</t>
  </si>
  <si>
    <t>86569279651</t>
  </si>
  <si>
    <t>Addison Park Aubrey Navy King 9pc comforter Navy King</t>
  </si>
  <si>
    <t>MCH10-1565</t>
  </si>
  <si>
    <t>841230018126</t>
  </si>
  <si>
    <t>Tempur-Pedic Dual Position Support Memory F White And Gray Standard</t>
  </si>
  <si>
    <t>COVER: POLYESTER/POLYPROPYLENE; FILL: VISCOELASTIC POLYURETHANE FOAM</t>
  </si>
  <si>
    <t>675716546779</t>
  </si>
  <si>
    <t>Madison Park Madison Park Tuscany 3-Pc Full Ivory FullQueen</t>
  </si>
  <si>
    <t>MP13-1035</t>
  </si>
  <si>
    <t>MICROFIBER FROM POLYESTER; COVERLET FILL: COTTON, POLYESTER</t>
  </si>
  <si>
    <t>706258090977</t>
  </si>
  <si>
    <t>Charter Club Damask Stripe Supima Cotton 55 White Queen</t>
  </si>
  <si>
    <t>DLLSTQDSWHT</t>
  </si>
  <si>
    <t>6941327103248</t>
  </si>
  <si>
    <t>Glitzhome Glitzhome Cotton Woven Throw White 60x50</t>
  </si>
  <si>
    <t>GLITZHOME LLC</t>
  </si>
  <si>
    <t>783048110183</t>
  </si>
  <si>
    <t>Charisma Luxe Zero Twist Bath Robe White SM</t>
  </si>
  <si>
    <t>GM3253BWSM-9900</t>
  </si>
  <si>
    <t>814080021295</t>
  </si>
  <si>
    <t>Spectrum True Stuff Spring Dawn Decorat Multi 18</t>
  </si>
  <si>
    <t>TS-00916-SPC</t>
  </si>
  <si>
    <t>SPECTRUM HOME TEXTILES</t>
  </si>
  <si>
    <t>709271489919</t>
  </si>
  <si>
    <t>Calvin Klein Calvin Klein Monaco King Sheet Cream King</t>
  </si>
  <si>
    <t>1010225-KG-C1-D2</t>
  </si>
  <si>
    <t>709271489933</t>
  </si>
  <si>
    <t>Calvin Klein Calvin Klein Monaco King Sheet Lt Blue King</t>
  </si>
  <si>
    <t>1010225-KG-L1-D2</t>
  </si>
  <si>
    <t>734737635609</t>
  </si>
  <si>
    <t>Fairfield Square Collection GTHM blkwht FULL CS Blackwhite Full</t>
  </si>
  <si>
    <t>783048154309</t>
  </si>
  <si>
    <t>Pem America Diana 8-Pc. Reversible Full Co Blue Full</t>
  </si>
  <si>
    <t>BIB4167FU-3240</t>
  </si>
  <si>
    <t>732996249988</t>
  </si>
  <si>
    <t>Charter Club 360 Down Chamber 325-Thread Co White King</t>
  </si>
  <si>
    <t>100069643KG</t>
  </si>
  <si>
    <t>788904130640</t>
  </si>
  <si>
    <t>Royal Luxe Royal Luxe Microfiber Color Do Khaki King</t>
  </si>
  <si>
    <t>726895579093</t>
  </si>
  <si>
    <t>Martha Stewart Collection Solid Open Stock 400-Thread Co Ivory King Flat</t>
  </si>
  <si>
    <t>10021051KG</t>
  </si>
  <si>
    <t>732999609772</t>
  </si>
  <si>
    <t>Hotel Collection Hotel Collection Tessellate Ki Lightpastel Gr King Sham</t>
  </si>
  <si>
    <t>100097064KG</t>
  </si>
  <si>
    <t>709271451916</t>
  </si>
  <si>
    <t>Calvin Klein Modern Cotton Harrison Twin Fl Grey Twin</t>
  </si>
  <si>
    <t>1210113-TW-G1-D3</t>
  </si>
  <si>
    <t>REGTWNFLAT</t>
  </si>
  <si>
    <t>706258616375</t>
  </si>
  <si>
    <t>Martha Stewart Collection Essentials Queen Waterproof Ma White Queen</t>
  </si>
  <si>
    <t>100058084QN</t>
  </si>
  <si>
    <t>734737552371</t>
  </si>
  <si>
    <t>Sunham Colesville 3-Pc. Comforter Set Blush Twin</t>
  </si>
  <si>
    <t>18953022V</t>
  </si>
  <si>
    <t>10482344806</t>
  </si>
  <si>
    <t>Fresh Ideas Ruffled Eyelet Standard 2-Pack Mocha Standard Sham</t>
  </si>
  <si>
    <t>FRE30002MOCH07</t>
  </si>
  <si>
    <t>PILLOWCASE</t>
  </si>
  <si>
    <t>732994072397</t>
  </si>
  <si>
    <t>Martha Stewart Collection Feels Like Down StandardQueen White Standard</t>
  </si>
  <si>
    <t>10029647QN</t>
  </si>
  <si>
    <t>733001946809</t>
  </si>
  <si>
    <t>Charter Club Continuous Support Extra Firm White Standard</t>
  </si>
  <si>
    <t>100121785SQ</t>
  </si>
  <si>
    <t>646998649236</t>
  </si>
  <si>
    <t>CHF Lynette 56 x 14 Window Valan Linen 56x14</t>
  </si>
  <si>
    <t>1-40620LLE</t>
  </si>
  <si>
    <t>846339064890</t>
  </si>
  <si>
    <t>J Queen New York Kennedy Sterling King Comforte White King</t>
  </si>
  <si>
    <t>2048148KCS</t>
  </si>
  <si>
    <t>193842113981</t>
  </si>
  <si>
    <t>J Queen New York Richmond Queen Comforter Set, Indigo Queen</t>
  </si>
  <si>
    <t>2621065QCS</t>
  </si>
  <si>
    <t>96675615335</t>
  </si>
  <si>
    <t>SensorGel Sensor Gel Smart Zone 3-Inch Q White Queen</t>
  </si>
  <si>
    <t>732996468020</t>
  </si>
  <si>
    <t>Hotel Collection Classic Roseblush King Duvet C Blush King</t>
  </si>
  <si>
    <t>100072028KG</t>
  </si>
  <si>
    <t>FABRIC: POLYESTER/COTTON; REVERSES TO COTTON</t>
  </si>
  <si>
    <t>689192618950</t>
  </si>
  <si>
    <t>Ella Jayne 15lb Reversible Anti-Anxiety W GreyPink</t>
  </si>
  <si>
    <t>EJHCFWT-GP-S-15</t>
  </si>
  <si>
    <t>PILLOW GUY INC</t>
  </si>
  <si>
    <t>FRONT: MICROFIBER; REVERSE: MINKY; FILL: GLASS BEADS POLYESTER</t>
  </si>
  <si>
    <t>732999571628</t>
  </si>
  <si>
    <t>Charter Club Sleep Cool Egyptian Hygro Cott Pastel Marine California King</t>
  </si>
  <si>
    <t>100048387CK</t>
  </si>
  <si>
    <t>732995559460</t>
  </si>
  <si>
    <t>Charter Club Damask Designs Basket Stripe 3 White Twin</t>
  </si>
  <si>
    <t>100045794TW</t>
  </si>
  <si>
    <t>COTTON; FILLING: POLYESTER; SHAMS: COTTON</t>
  </si>
  <si>
    <t>86569027900</t>
  </si>
  <si>
    <t>Beautyrest Zuri Reversible Oversized 50 Sand 50x70</t>
  </si>
  <si>
    <t>BR54-0860</t>
  </si>
  <si>
    <t>733002052165</t>
  </si>
  <si>
    <t>Martha Stewart Collection Chenille Exploded Floral 2-Pc White TwinTwin XL</t>
  </si>
  <si>
    <t>100120808TW</t>
  </si>
  <si>
    <t>MMG-MARTHA STEW/E AND E (JLA HOME)</t>
  </si>
  <si>
    <t>191790028906</t>
  </si>
  <si>
    <t>Fairfield Square Collection Hampton Cotton 650-Thread Coun Ivory King</t>
  </si>
  <si>
    <t>24002104003AQT</t>
  </si>
  <si>
    <t>734737617391</t>
  </si>
  <si>
    <t>Sunham Fairfield Square Waverly Cotto Charcoal Honeycomb California King</t>
  </si>
  <si>
    <t>734737671768</t>
  </si>
  <si>
    <t>Sunham Hanna 12-Pc. Reversible Floral Blkwhite King</t>
  </si>
  <si>
    <t>875108009145</t>
  </si>
  <si>
    <t>Celeste Home Celeste Home Ultra Soft Flanne Sage Queen</t>
  </si>
  <si>
    <t>FCH-QNSAGE</t>
  </si>
  <si>
    <t>SAFAH INTERNATIONAL INC</t>
  </si>
  <si>
    <t>788904004644</t>
  </si>
  <si>
    <t>Scott Living Scott Living Feather Down Ba White King</t>
  </si>
  <si>
    <t>SL229102K</t>
  </si>
  <si>
    <t>814760024103</t>
  </si>
  <si>
    <t>ienjoy Home Home Collection All Season Pre Gray King</t>
  </si>
  <si>
    <t>COMFSLDKIENJ</t>
  </si>
  <si>
    <t>IENJOY HOME/IENJOY LLC</t>
  </si>
  <si>
    <t>MICROFIBER</t>
  </si>
  <si>
    <t>636206071232</t>
  </si>
  <si>
    <t>Hotel Collection Dimensional Queen Bedskirt Grey Queen</t>
  </si>
  <si>
    <t>100041077QN</t>
  </si>
  <si>
    <t>675716662844</t>
  </si>
  <si>
    <t>Mi Zone Allison 4-Pc. FullQueen Duvet Yellow FullQueen</t>
  </si>
  <si>
    <t>MZ12-372</t>
  </si>
  <si>
    <t>DUVET/SHAM/PILLOW COVER: POLYESTER; PILLOW FILL: POLYESTER</t>
  </si>
  <si>
    <t>846339092114</t>
  </si>
  <si>
    <t>J Queen New York Sardinia Gold Straight Valance Gold ONE SIZE</t>
  </si>
  <si>
    <t>2365030STVAL</t>
  </si>
  <si>
    <t>734737634992</t>
  </si>
  <si>
    <t>Sunham T500 CVC Printed King Sheet Se Grey King</t>
  </si>
  <si>
    <t>706257404522</t>
  </si>
  <si>
    <t>Hotel Collection Cotton 680 Thread Count Queen Ivory Queen</t>
  </si>
  <si>
    <t>68I19QNFL</t>
  </si>
  <si>
    <t>QUEEN FLAT</t>
  </si>
  <si>
    <t>10482315790</t>
  </si>
  <si>
    <t>Fresh Ideas All-In-One Zippered Box spring White King</t>
  </si>
  <si>
    <t>FRE160XXWHIT04</t>
  </si>
  <si>
    <t>POLYETHYLENE/POLYPROPYLENE</t>
  </si>
  <si>
    <t>191790041004</t>
  </si>
  <si>
    <t>AQ Textiles Camden 1250 thread count 4 pc Silver Queen</t>
  </si>
  <si>
    <t>25542103063AQT</t>
  </si>
  <si>
    <t>734737635012</t>
  </si>
  <si>
    <t>Sunham T500 CVC Printed Queen Sheet S Blue leaves Queen</t>
  </si>
  <si>
    <t>732997393956</t>
  </si>
  <si>
    <t>Hotel Collection Primaloft 450-Thread Count Med White Standard</t>
  </si>
  <si>
    <t>100083175QN</t>
  </si>
  <si>
    <t>OUTER COVER: COTTON; INNER SHELL: COTTON; FILL: POLYESTER FIBERFILL</t>
  </si>
  <si>
    <t>675716999070</t>
  </si>
  <si>
    <t>INKIVY Bree Chunky-Knit 26 Square Eu Coral European</t>
  </si>
  <si>
    <t>II30-928</t>
  </si>
  <si>
    <t>ACRYLIC</t>
  </si>
  <si>
    <t>636193128278</t>
  </si>
  <si>
    <t>Hotel Collection Turkish 33 x 70 Bath Sheet Steel Bath Sheets</t>
  </si>
  <si>
    <t>HTLTURSSTE</t>
  </si>
  <si>
    <t>TURKISH COTTON</t>
  </si>
  <si>
    <t>96675642294</t>
  </si>
  <si>
    <t>SensorPEDIC SensorPEDIC Temperature Regula White Standard</t>
  </si>
  <si>
    <t>SINGLE</t>
  </si>
  <si>
    <t>732997393963</t>
  </si>
  <si>
    <t>Hotel Collection Primaloft 450-Thread Count Sof White Standard</t>
  </si>
  <si>
    <t>100083176QN</t>
  </si>
  <si>
    <t>675716976699</t>
  </si>
  <si>
    <t>Mi Zone Mi Zone Kids Wise Wendy 50 x Multi 50x63</t>
  </si>
  <si>
    <t>MZK40-139</t>
  </si>
  <si>
    <t>100% POLYESTER; 3 PASS FOAMBACK LINING</t>
  </si>
  <si>
    <t>733001925866</t>
  </si>
  <si>
    <t>Charter Club Continuous Cool Medium Firm Ki White King</t>
  </si>
  <si>
    <t>100121787KG</t>
  </si>
  <si>
    <t>29927524925</t>
  </si>
  <si>
    <t>Sun Zero Oslo 52 x 84 Theater Grade E Stone 52x84</t>
  </si>
  <si>
    <t>783048140166</t>
  </si>
  <si>
    <t>Pem America Monochromatic 3-Pc. Floral-Pri Black FullQueen</t>
  </si>
  <si>
    <t>CS3908FQ-1540</t>
  </si>
  <si>
    <t>636189944004</t>
  </si>
  <si>
    <t>Hotel Collection Turkish 30 x 56 Bath Towel Blue Skyline Bath Towels</t>
  </si>
  <si>
    <t>HTLTURBBSL</t>
  </si>
  <si>
    <t>732998362395</t>
  </si>
  <si>
    <t>Hotel Collection Hotel Collection Petal Sham, S Lightpastel Standard Sham</t>
  </si>
  <si>
    <t>100077501SD</t>
  </si>
  <si>
    <t>100% PIMA COTTON</t>
  </si>
  <si>
    <t>735732238024</t>
  </si>
  <si>
    <t>Seventh Studio Ribbed 5-Piece Bath Set Tan</t>
  </si>
  <si>
    <t>RBI-BAT-5PCB-MA-TAN</t>
  </si>
  <si>
    <t>29927565119</t>
  </si>
  <si>
    <t>No. 918 No. 918 Delia 50 x 84 Embroi White 50x84</t>
  </si>
  <si>
    <t>32281233198</t>
  </si>
  <si>
    <t>Disney Toy Story Rex 17 Pillow Buddy Toy Story Rx Standard</t>
  </si>
  <si>
    <t>JF23319</t>
  </si>
  <si>
    <t>10482035858</t>
  </si>
  <si>
    <t>Fresh Ideas Magic Skirt Ruffled Full Bed S Ivory Full</t>
  </si>
  <si>
    <t>FRE-344-14-IVOR-02</t>
  </si>
  <si>
    <t>10482376555</t>
  </si>
  <si>
    <t>DreamLab All-In-One Repreve Recycled So White Standard</t>
  </si>
  <si>
    <t>LEV692XXWHIT07</t>
  </si>
  <si>
    <t>726895578454</t>
  </si>
  <si>
    <t>Martha Stewart Collection Solid Open Stock 400-Thread Co Cloud White Twin XL</t>
  </si>
  <si>
    <t>10021050TX</t>
  </si>
  <si>
    <t>26865929324</t>
  </si>
  <si>
    <t>Elrene Jolie 52 x 84 Crushed Semi-S Soft Blue 52x84</t>
  </si>
  <si>
    <t>21189SFB</t>
  </si>
  <si>
    <t>706257574706</t>
  </si>
  <si>
    <t>Martha Stewart Collection Spa Cotton 19.3 x 32.0 Bath Meringue 19.3 x 32</t>
  </si>
  <si>
    <t>MSSPA1X3MRG</t>
  </si>
  <si>
    <t>WELSPUN USA/MARTHA STEWART-EDI-MMG</t>
  </si>
  <si>
    <t>706257574638</t>
  </si>
  <si>
    <t>Martha Stewart Collection Spa 17 x 25.5 Cotton Bath Ru Walnut 17 x 25.5</t>
  </si>
  <si>
    <t>MSSPA1X2WLN</t>
  </si>
  <si>
    <t>MARTHA STEWART-MMG</t>
  </si>
  <si>
    <t>MICROFIBER: POLYESTER</t>
  </si>
  <si>
    <t>706255871678</t>
  </si>
  <si>
    <t>Martha Stewart Collection Quick Dry Reversible Bath Towe Aqua Glass Bath Towels</t>
  </si>
  <si>
    <t>MSQDRBAQ</t>
  </si>
  <si>
    <t>34299004777</t>
  </si>
  <si>
    <t>Clorox Frosty 70 x 72 Shower Curtai Frosty 70X72</t>
  </si>
  <si>
    <t>1N0-040C0-6111</t>
  </si>
  <si>
    <t>BY APPOINTMENT-EXCELL HOME FASHIONS</t>
  </si>
  <si>
    <t>86569061775</t>
  </si>
  <si>
    <t>Harbor House Hallie King 6-Pc. Comforter Se Grey King</t>
  </si>
  <si>
    <t>HH10-1685</t>
  </si>
  <si>
    <t>HARBOR HOUSE/JLA HOME/E &amp; E CO LTD</t>
  </si>
  <si>
    <t>COMFORTER AND SHAMS: COTTON THREAD COUNT: 300; POLYESTER FILL (COMFORTER) BEDSKIRT DROP: COTTON; BEDSKIRT PLATFORM: POLYESTER/COTTON PILLOWS: COTTON (WITH EMBROIDERY ON TOP); POLYESTER FILL</t>
  </si>
  <si>
    <t>635983500997</t>
  </si>
  <si>
    <t>Ella Jayne 100 Certified RDS All Season White FullQueen</t>
  </si>
  <si>
    <t>BMI10579LQ</t>
  </si>
  <si>
    <t>SHELL: 100% COTTON</t>
  </si>
  <si>
    <t>735837574263</t>
  </si>
  <si>
    <t>Hotel Collection European White Goose Down Firm White Standard</t>
  </si>
  <si>
    <t>HWGDJF14</t>
  </si>
  <si>
    <t>735837083062</t>
  </si>
  <si>
    <t>Hotel Collection Hotel Collection Luxury Down A White King</t>
  </si>
  <si>
    <t>HDAK903</t>
  </si>
  <si>
    <t>38992937707</t>
  </si>
  <si>
    <t>Waterford Waterford andria Waterfall Val Taupe</t>
  </si>
  <si>
    <t>CNANDRW111W3</t>
  </si>
  <si>
    <t>732998362418</t>
  </si>
  <si>
    <t>Hotel Collection Hotel Collection Petal Coverle Lightpastel King</t>
  </si>
  <si>
    <t>100078425KG</t>
  </si>
  <si>
    <t>SHELL: 100% COTTON, FILL: 100% POLYESTER</t>
  </si>
  <si>
    <t>732994723718</t>
  </si>
  <si>
    <t>Charter Club Damask Designs Seersucker 150- White Grey Twin</t>
  </si>
  <si>
    <t>100023822TW</t>
  </si>
  <si>
    <t>706258089070</t>
  </si>
  <si>
    <t>Charter Club Damask Stripe Supima Cotton 55 Navy King</t>
  </si>
  <si>
    <t>DLDSTKGSNVY</t>
  </si>
  <si>
    <t>86569396617</t>
  </si>
  <si>
    <t>Intelligent Design Intelligent Design Malea 3 Pie Natural King</t>
  </si>
  <si>
    <t>ID12-1925</t>
  </si>
  <si>
    <t>706258050773</t>
  </si>
  <si>
    <t>DLLSTQNSWHT</t>
  </si>
  <si>
    <t>735837077481</t>
  </si>
  <si>
    <t>Hotel Collection 500 Thread count Mattress Pa White Queen</t>
  </si>
  <si>
    <t>2402HMPQ</t>
  </si>
  <si>
    <t>COTTON: FRONT &amp; BACK; FILL: POLYESTER;SKIRT:POLYESTER</t>
  </si>
  <si>
    <t>91116715681</t>
  </si>
  <si>
    <t>Sanders Decorations Queen Comforter Se Red Queen</t>
  </si>
  <si>
    <t>DCAQTQ</t>
  </si>
  <si>
    <t>846339085932</t>
  </si>
  <si>
    <t>Piper Wright Piper Wright Joyce Throw Blue No Size</t>
  </si>
  <si>
    <t>2293006THROW</t>
  </si>
  <si>
    <t>70X52</t>
  </si>
  <si>
    <t>706257404553</t>
  </si>
  <si>
    <t>Hotel Collection Cotton 680 Thread Count King F Ivory King</t>
  </si>
  <si>
    <t>68I22KGFT</t>
  </si>
  <si>
    <t>734737485662</t>
  </si>
  <si>
    <t>Fairfield Square Collection Austin 8-Pc. Reversible Comfor Blue King</t>
  </si>
  <si>
    <t>1575C329V</t>
  </si>
  <si>
    <t>726895380187</t>
  </si>
  <si>
    <t>Hotel Collection Plume Quilted European Sham White European Sham</t>
  </si>
  <si>
    <t>1005629ER</t>
  </si>
  <si>
    <t>734737570733</t>
  </si>
  <si>
    <t>Fairfield Square Collection Amalanta Reversible 8-Pc. Quee Red Queen</t>
  </si>
  <si>
    <t>191790037489</t>
  </si>
  <si>
    <t>AQ Textiles Ultra Cool 700-Thread Count 4- Taupe Queen</t>
  </si>
  <si>
    <t>25002103025AQT</t>
  </si>
  <si>
    <t>675716283148</t>
  </si>
  <si>
    <t>Madison Park Quiet Nights Queen Mattress Pa White Queen</t>
  </si>
  <si>
    <t>BASI16-0034</t>
  </si>
  <si>
    <t>734737637542</t>
  </si>
  <si>
    <t>Fairfield Square Collection Aspen T1000 CVC Queen sheet se Light Grey Queen</t>
  </si>
  <si>
    <t>726895380170</t>
  </si>
  <si>
    <t>Hotel Collection Plume Quilted Standard Sham White Standard Sham</t>
  </si>
  <si>
    <t>1005628SD</t>
  </si>
  <si>
    <t>732997394267</t>
  </si>
  <si>
    <t>Hotel Collection Primaloft 450-Thread Count Sof White King</t>
  </si>
  <si>
    <t>100083176KG</t>
  </si>
  <si>
    <t>726895450446</t>
  </si>
  <si>
    <t>Martha Stewart Collection Essentials Jersey 4-Pc. King S Grey King</t>
  </si>
  <si>
    <t>10015002KG</t>
  </si>
  <si>
    <t>MS ESSENTIALS-EDI/RWI/YUNU-SHEETS</t>
  </si>
  <si>
    <t>86569373076</t>
  </si>
  <si>
    <t>Martha Stewart Collection Essential Queen Mattress Pad White Queen</t>
  </si>
  <si>
    <t>SLPSC1Q04</t>
  </si>
  <si>
    <t>86569111364</t>
  </si>
  <si>
    <t>JLA Home Serene Embroidered 72 x 72 F Red 72X72</t>
  </si>
  <si>
    <t>MCH70-1001</t>
  </si>
  <si>
    <t>POLYESTER 85GSM</t>
  </si>
  <si>
    <t>734737552395</t>
  </si>
  <si>
    <t>Sunham Colesville 3-Pc. Comforter Set Blush King</t>
  </si>
  <si>
    <t>18953322V</t>
  </si>
  <si>
    <t>190733123425</t>
  </si>
  <si>
    <t>Linum Home Sinemis Bath Towel Beige</t>
  </si>
  <si>
    <t>SN-1BT</t>
  </si>
  <si>
    <t>LINUM HOME TEXTILES LLC</t>
  </si>
  <si>
    <t>10482322002</t>
  </si>
  <si>
    <t>Levinsohn Textiles Todays Home Microfiber Standa White Standard</t>
  </si>
  <si>
    <t>TOH25002WHIT07</t>
  </si>
  <si>
    <t>91116694443</t>
  </si>
  <si>
    <t>Jessica Sanders Solid Microfiber Queen Sheet S Flint Grey Queen</t>
  </si>
  <si>
    <t>733001891895</t>
  </si>
  <si>
    <t>Martha Stewart Collection Checker Floral 100 Cotton Sta Yellow Standard Sham</t>
  </si>
  <si>
    <t>100115802ST</t>
  </si>
  <si>
    <t>840970140982</t>
  </si>
  <si>
    <t>Swift Home Home Basic Easy Fit Microfiber White Queen</t>
  </si>
  <si>
    <t>917615-QN</t>
  </si>
  <si>
    <t>CATHAY HOME INC</t>
  </si>
  <si>
    <t>706257490457</t>
  </si>
  <si>
    <t>Martha Stewart Collection Spa Bath Towel Pink Ice Bath Towels</t>
  </si>
  <si>
    <t>MSPLSHBPKI</t>
  </si>
  <si>
    <t>732996412443</t>
  </si>
  <si>
    <t>Whim by Martha Stewart Whim By Martha Stewart Collect Flamingo Standard Pillowcases</t>
  </si>
  <si>
    <t>100062308PC</t>
  </si>
  <si>
    <t>886087347715</t>
  </si>
  <si>
    <t>Lauren Ralph Lauren Lauren Ralph Lauren Nicola Pai Navy And Cream FullQueen</t>
  </si>
  <si>
    <t>841643116075</t>
  </si>
  <si>
    <t>Duck River Textile Akita 8-Piece Queen Comforter White Queen</t>
  </si>
  <si>
    <t>AKITA13240D 1</t>
  </si>
  <si>
    <t>DUCK RIVER TEXTILE</t>
  </si>
  <si>
    <t>675716642426</t>
  </si>
  <si>
    <t>Madison Park Medina 8-Pc. King Comforter Se Navy King</t>
  </si>
  <si>
    <t>MP10-1659</t>
  </si>
  <si>
    <t>COMFORTER/SHAM/EUROPEAN SHAM/BEDSKIRT (PLATFORM AND DROP)/PILLOW: POLYESTER; COMFORTER FILL: POLYESTER 270 GRAMS PER SQUARE METER; PILLOW FILL: POLYESTER</t>
  </si>
  <si>
    <t>675716969585</t>
  </si>
  <si>
    <t>Madison Park Madison Park Harper Velvet 3-P Teal KingCalifornia King</t>
  </si>
  <si>
    <t>MP13-4612</t>
  </si>
  <si>
    <t>FABRIC: POLYESTER; COVERLET FILL: COTTON/POLYESTER/OTHER 85 GSM</t>
  </si>
  <si>
    <t>732995626834</t>
  </si>
  <si>
    <t>Hotel Collection Woodrose Cotton 400-Thread Cou Pink FullQueen</t>
  </si>
  <si>
    <t>100041750FQ</t>
  </si>
  <si>
    <t>HOTEL COLLECTION-EDI/RWI/PACFUNG</t>
  </si>
  <si>
    <t>FABRIC: 100% COTTON; THREAD COUNT: 400</t>
  </si>
  <si>
    <t>86569168337</t>
  </si>
  <si>
    <t>Madison Park Marina FullQueen 8 Piece Prin Blue FullQueen</t>
  </si>
  <si>
    <t>MP10-6155</t>
  </si>
  <si>
    <t>COMFORTER/SHAM: POLYESTER MICROFIBER, COMFORTER WITH POLYESTER FILLING; COVERLET: POLYESTER MICROFIBER, POLYESTER FILLING; DECORATIVE PILLOW: POLYESTER COVER WITH POLYESTER FILLING</t>
  </si>
  <si>
    <t>848742058213</t>
  </si>
  <si>
    <t>Lush Decor Reyna Window 54 x 95 Curtain White 54x95</t>
  </si>
  <si>
    <t>16T001460</t>
  </si>
  <si>
    <t>95 2.5</t>
  </si>
  <si>
    <t>848742081495</t>
  </si>
  <si>
    <t>Lush Decor Reyna Window 54 x 95 Curtain Blush 54x95</t>
  </si>
  <si>
    <t>16T003881</t>
  </si>
  <si>
    <t>848742087725</t>
  </si>
  <si>
    <t>Lush Decor Reyna Window 54 x 95 Curtain Beige 54x95</t>
  </si>
  <si>
    <t>16T004482</t>
  </si>
  <si>
    <t>47293399442</t>
  </si>
  <si>
    <t>Sure Fit Slipcover, Matelasse Damask Wi White Wing Chair Slipcover</t>
  </si>
  <si>
    <t>193626256W</t>
  </si>
  <si>
    <t>SURE FIT HOME PRODUCTS LLC</t>
  </si>
  <si>
    <t>675716674847</t>
  </si>
  <si>
    <t>Sleep Philosophy Peyton Reversible 3-Pc. King C Grey King</t>
  </si>
  <si>
    <t>BASI10-0341</t>
  </si>
  <si>
    <t>FABRIC: POLYESTER 220 GSM; COMFORTER FILL: POLYESTER</t>
  </si>
  <si>
    <t>800298555875</t>
  </si>
  <si>
    <t>Donna Karan Home Reflection Gold Dust King Gold Dust King Sham</t>
  </si>
  <si>
    <t>RFC644549SAJ</t>
  </si>
  <si>
    <t>KGTAILORED</t>
  </si>
  <si>
    <t>FACE: POLYESTER/RAYON/SILK; REVERSE: COTTON</t>
  </si>
  <si>
    <t>726895066821</t>
  </si>
  <si>
    <t>Lucky Brand Moroccan Pom Throw Ivory Throw</t>
  </si>
  <si>
    <t>CLSD-LKY BEDD</t>
  </si>
  <si>
    <t>LUCKY - MMG</t>
  </si>
  <si>
    <t>675716674830</t>
  </si>
  <si>
    <t>Sleep Philosophy Peyton Reversible 3-Pc. FullQ Grey FullQueen</t>
  </si>
  <si>
    <t>BASI10-0340</t>
  </si>
  <si>
    <t>849657016275</t>
  </si>
  <si>
    <t>Rod Desyne Rosen Single Curtain Rod 48 - Light Gold 48-84in</t>
  </si>
  <si>
    <t>100-68-483</t>
  </si>
  <si>
    <t>STEEL ROD AND PLASTIC FINIALS</t>
  </si>
  <si>
    <t>655385015592</t>
  </si>
  <si>
    <t>Elite Home 3 pc King Luxury Satin Comfort Leopard King</t>
  </si>
  <si>
    <t>MICCSKG064LSRCS</t>
  </si>
  <si>
    <t>86569902931</t>
  </si>
  <si>
    <t>SunSmart Mirage 50 x 95 Damask Total Grey 50x95</t>
  </si>
  <si>
    <t>SS40-0017</t>
  </si>
  <si>
    <t>SHELL: POLYESTER;</t>
  </si>
  <si>
    <t>848742011751</t>
  </si>
  <si>
    <t>Lush Decor Terra 72x 72 Shower Curtain Chocolate 72X72</t>
  </si>
  <si>
    <t>C11751Q13</t>
  </si>
  <si>
    <t>628961001074</t>
  </si>
  <si>
    <t>Small World Home Lane 22 x 22 Decorative Pill Black And White</t>
  </si>
  <si>
    <t>BREEZE</t>
  </si>
  <si>
    <t>22X22</t>
  </si>
  <si>
    <t>JETRICH CANADA LIMITED</t>
  </si>
  <si>
    <t>86569928283</t>
  </si>
  <si>
    <t>Madison Park Hayden Reversible 3-Pc. KingC Grey KingCalifornia King</t>
  </si>
  <si>
    <t>MPE12-644</t>
  </si>
  <si>
    <t>FABRIC: POLYESTER 85 GSM</t>
  </si>
  <si>
    <t>86569017994</t>
  </si>
  <si>
    <t>Urban Habitat Brooklyn 50 x 18 Cotton Jacq Ivory 50x18</t>
  </si>
  <si>
    <t>UH40-2168</t>
  </si>
  <si>
    <t>732998868880</t>
  </si>
  <si>
    <t>Martha Stewart Collection Artisan Collection Ditsy Diamo Ivory European</t>
  </si>
  <si>
    <t>100090957ER</t>
  </si>
  <si>
    <t>732998868873</t>
  </si>
  <si>
    <t>Martha Stewart Collection Artisan Star 26 x 26 Europea Ivory European</t>
  </si>
  <si>
    <t>100090956ER</t>
  </si>
  <si>
    <t>885308220530</t>
  </si>
  <si>
    <t>Eclipse Dane Thermaback Panel Chocolate 52x84</t>
  </si>
  <si>
    <t>12972052084CHC</t>
  </si>
  <si>
    <t>734737588141</t>
  </si>
  <si>
    <t>Lacoste Home Offset Cotton Stripes 30 x 54 Beach Glass Bath Towels</t>
  </si>
  <si>
    <t>T19584G2273054</t>
  </si>
  <si>
    <t>PINKOVERFL</t>
  </si>
  <si>
    <t>LACOSTE/SUNHAM HOME FASHIONS</t>
  </si>
  <si>
    <t>32281250522</t>
  </si>
  <si>
    <t>Disney Beauty The Beast Graphic-Pri Multi 16x16</t>
  </si>
  <si>
    <t>JF25052MCD</t>
  </si>
  <si>
    <t>54006623855</t>
  </si>
  <si>
    <t>Achim Ombre 46x42 SS Chocolate ONE SIZE</t>
  </si>
  <si>
    <t>OMWFVLCH06</t>
  </si>
  <si>
    <t>MED BROWN</t>
  </si>
  <si>
    <t>54006628751</t>
  </si>
  <si>
    <t>Achim Ombre 46x42 SS Aubergine ONE SIZE</t>
  </si>
  <si>
    <t>OMWFVLAB06</t>
  </si>
  <si>
    <t>BRIGHT PUR</t>
  </si>
  <si>
    <t>755615146772</t>
  </si>
  <si>
    <t>Miller Curtains Preston 48 x 84 Window Panel Beige 48x84</t>
  </si>
  <si>
    <t>NATCO/WINDHAM WEAVE/WINDHAM TRADING</t>
  </si>
  <si>
    <t>29927431834</t>
  </si>
  <si>
    <t>Sun Zero Sun Zero Grant 54 x 63 Rod P Chocolate 54x63</t>
  </si>
  <si>
    <t>GRANT</t>
  </si>
  <si>
    <t>732998869771</t>
  </si>
  <si>
    <t>Martha Stewart Collection Buffalo Plaid Yarn Dye Standar Lightpastel Gr Standard Sham</t>
  </si>
  <si>
    <t>100089634ST</t>
  </si>
  <si>
    <t>814945026243</t>
  </si>
  <si>
    <t>De Moocci Microfiber Tailored Bed-Skirt Cream Twin</t>
  </si>
  <si>
    <t>1706TBS-CRM-T</t>
  </si>
  <si>
    <t>DE MOOCCI/ORIENT HOME COLLECTION</t>
  </si>
  <si>
    <t>21166102612</t>
  </si>
  <si>
    <t>Harper Lane Geo Decorative Throw Pillow Taupe 18x18</t>
  </si>
  <si>
    <t>732998869399</t>
  </si>
  <si>
    <t>Martha Stewart Collection Country Flora Patchwork Standa Blue Standard Sham</t>
  </si>
  <si>
    <t>100079754ST</t>
  </si>
  <si>
    <t>732997124017</t>
  </si>
  <si>
    <t>Lucky Brand Diamond Tuft Standard Sham Blue Standard Sham</t>
  </si>
  <si>
    <t>10130015BSD</t>
  </si>
  <si>
    <t>746885344494</t>
  </si>
  <si>
    <t>Miller Curtains Window Treatments, Preston Rod Beige 51x84</t>
  </si>
  <si>
    <t>WC70344400284</t>
  </si>
  <si>
    <t>86569287601</t>
  </si>
  <si>
    <t>Urban Dreams Urban Dreams 3D Astronaut Pill White 50x60</t>
  </si>
  <si>
    <t>MCH21-1619</t>
  </si>
  <si>
    <t>100% COTTON EXCLUSIVE OF DECORATION</t>
  </si>
  <si>
    <t>646760116638</t>
  </si>
  <si>
    <t>French Connection Myles Cotton 16 x 28 Hand To Medium Blue No Size</t>
  </si>
  <si>
    <t>FCMAT000082</t>
  </si>
  <si>
    <t>CREATIVE HOME IDEAS/YMF CARPET INC</t>
  </si>
  <si>
    <t>FABRIC: 100% COTTON 600 GSM</t>
  </si>
  <si>
    <t>79465040128</t>
  </si>
  <si>
    <t>Martex Martex Ultimate 13 x 13 Wash Poppy ONE SIZE</t>
  </si>
  <si>
    <t>GH90040128</t>
  </si>
  <si>
    <t>WESTPOINT HOME INC</t>
  </si>
  <si>
    <t>766195440570</t>
  </si>
  <si>
    <t>Tommy Hilfiger All American II Cotton Hand To Sunshine Hand Towels</t>
  </si>
  <si>
    <t>079387TH008</t>
  </si>
  <si>
    <t>732994102919</t>
  </si>
  <si>
    <t>Charter Club Elite Hygro Cotton Hand Towel Forest Green Hand Towels</t>
  </si>
  <si>
    <t>732996957760</t>
  </si>
  <si>
    <t>Hotel Collection Block Geo Cotton 13 x 13 Was Glacier Combo Washcloths</t>
  </si>
  <si>
    <t>848405033144</t>
  </si>
  <si>
    <t>Mainstream International Inc. Sonata Cotton 16 x 26 Hand T Grey No Size</t>
  </si>
  <si>
    <t>MACLSC194105</t>
  </si>
  <si>
    <t>675716507909</t>
  </si>
  <si>
    <t>Madison Park Madison Park Quebec 3-Pc King Ivory King</t>
  </si>
  <si>
    <t>MP13-709</t>
  </si>
  <si>
    <t>POLYESTER; BEDSPREAD FILL: COTTON/POLYESTER</t>
  </si>
  <si>
    <t>86569318756</t>
  </si>
  <si>
    <t>Madison Park Madison Park Midnight Garden 7 Blush Queen</t>
  </si>
  <si>
    <t>MP10-7057</t>
  </si>
  <si>
    <t>675716740658</t>
  </si>
  <si>
    <t>Madison Park Lola 7-Pc. Queen Comforter Set Aqua Queen</t>
  </si>
  <si>
    <t>MP10-2639</t>
  </si>
  <si>
    <t>COMFORTER/SHAM: COTTON, REVERSES TO COTTON/POLYESTER; BEDSKIRT (DROP)/PILLOW: COTTON/POLYESTER; BEDSKIRT (PLATFORM): POLYESTER; PILLOW FILL: POLYESTER; COMFORTER FILL: POLYESTER</t>
  </si>
  <si>
    <t>675716642419</t>
  </si>
  <si>
    <t>Madison Park Medina 8-Pc. Queen Comforter S Navy Queen</t>
  </si>
  <si>
    <t>MP10-1658</t>
  </si>
  <si>
    <t>86569130150</t>
  </si>
  <si>
    <t>Intelligent Design Dorsey FullQueen 5 Piece Flor Blackwhite FullQueen</t>
  </si>
  <si>
    <t>ID10-1591</t>
  </si>
  <si>
    <t>COMFORTER/SHAM: POLYESTER BRUSHED MICROFIBER FACE, POLYESTER BRUSHED SOLID MICROFIBER BACK, COMFORTER WITH POLYESTER FILLING; DECORATIVE PILLOW: POLYESTER COVER WITH POLYESTER FILLING</t>
  </si>
  <si>
    <t>86569927002</t>
  </si>
  <si>
    <t>Madison Park Arya 2-Pc. Twin Comforter Set Ivory Twin</t>
  </si>
  <si>
    <t>MP10-5057</t>
  </si>
  <si>
    <t>843145100453</t>
  </si>
  <si>
    <t>Chic Home Chic Home Weaverland 3 Piece Q Green Queen</t>
  </si>
  <si>
    <t>BQS00453-MC</t>
  </si>
  <si>
    <t>FABRIC: POLYESTER MICROFIBER; FILL: POLYESTER</t>
  </si>
  <si>
    <t>675716760182</t>
  </si>
  <si>
    <t>Madison Park Zuri Reversible Oversized 96 Grey Throw</t>
  </si>
  <si>
    <t>MP50-2920</t>
  </si>
  <si>
    <t>783048107619</t>
  </si>
  <si>
    <t>Truly Soft Paulette Plaid FullQueen Comf Tan FullQueen</t>
  </si>
  <si>
    <t>CS3226FQ-1500</t>
  </si>
  <si>
    <t>642472103843</t>
  </si>
  <si>
    <t>Exclusive Home Exclusive Home Loha Patio Grom Beigekhaki ONE SIZE</t>
  </si>
  <si>
    <t>EH8307108X84</t>
  </si>
  <si>
    <t>EXCLUSIVE HOME/AMALGAMATED TEXTILES</t>
  </si>
  <si>
    <t>86569024077</t>
  </si>
  <si>
    <t>Madison Park Madison Park Lasso 24 x 40 P Charcoal 24 x 40</t>
  </si>
  <si>
    <t>MP72-5831</t>
  </si>
  <si>
    <t>CHARCOAL</t>
  </si>
  <si>
    <t>86569130174</t>
  </si>
  <si>
    <t>ID12-1593</t>
  </si>
  <si>
    <t>DUVET COVER/SHAM: POLYESTER BRUSHED MICROFIBER FACE, POLYESTER BRUSHED SOLID MICROFIBER BACK; DECORATIVE PILLOW: POLYESTER COVER WITH POLYESTER FILLING</t>
  </si>
  <si>
    <t>22415027120</t>
  </si>
  <si>
    <t>AllerEase Waterproof Allergy Protection White Full</t>
  </si>
  <si>
    <t>AMERICAN TEXTILE</t>
  </si>
  <si>
    <t>848742011737</t>
  </si>
  <si>
    <t>Lush Decor Mia 72 x 72 Shower Curtain Chocolate 72X72</t>
  </si>
  <si>
    <t>C11737Q13</t>
  </si>
  <si>
    <t>841643121628</t>
  </si>
  <si>
    <t>Duck River Textile Harris 36 x 84 Trellis Print Grey 84 inches</t>
  </si>
  <si>
    <t>HARRIS10877D 12</t>
  </si>
  <si>
    <t>86569284815</t>
  </si>
  <si>
    <t>Madison Park Madison Park Cameron 50 x 84 Grey 50x84</t>
  </si>
  <si>
    <t>MP40-6612</t>
  </si>
  <si>
    <t>735732244391</t>
  </si>
  <si>
    <t>VCNY Home Ornament Lines 17-Pc. Holiday Red</t>
  </si>
  <si>
    <t>OL1-BTH-17PC-MA-RED</t>
  </si>
  <si>
    <t>675716805449</t>
  </si>
  <si>
    <t>Urban Habitat Lexi Colorblocked Throw Blue Throw</t>
  </si>
  <si>
    <t>BL50-0888</t>
  </si>
  <si>
    <t>ACRYLIC 220 GRAMS PER SQUARE METER</t>
  </si>
  <si>
    <t>675716805463</t>
  </si>
  <si>
    <t>Urban Habitat Lexi Colorblocked Throw Taupe Throw</t>
  </si>
  <si>
    <t>BL50-0890</t>
  </si>
  <si>
    <t>21166124959</t>
  </si>
  <si>
    <t>Universal Home Fashions Universal Home Fashions Pompom Taupe 18x18</t>
  </si>
  <si>
    <t>732997856239</t>
  </si>
  <si>
    <t>Martha Stewart Collection Holiday Patchwork King Sham Red King Sham</t>
  </si>
  <si>
    <t>100064583KS</t>
  </si>
  <si>
    <t>732998869726</t>
  </si>
  <si>
    <t>Martha Stewart Collection Gilded Age Reversible Standard Tan Standard Sham</t>
  </si>
  <si>
    <t>100088179ST</t>
  </si>
  <si>
    <t>784857909876</t>
  </si>
  <si>
    <t>Idea Nuova Candy Stripe 2-Pc. Bath Rug Se Multi 20 x 30</t>
  </si>
  <si>
    <t>YK699432</t>
  </si>
  <si>
    <t>732996988962</t>
  </si>
  <si>
    <t>Martha Stewart Collection Stenciled Leaves Standard Sham Wine Standard Sham</t>
  </si>
  <si>
    <t>100037828ST</t>
  </si>
  <si>
    <t>41808935668</t>
  </si>
  <si>
    <t>BOHO GARDEN KG SHAM BASIC</t>
  </si>
  <si>
    <t>A024216PKOIE</t>
  </si>
  <si>
    <t>JESSICA SIMPSON/PEKING HANDICRAFT</t>
  </si>
  <si>
    <t>675716837235</t>
  </si>
  <si>
    <t>Madison Park Serendipity Cotton 9-Pc. King Coral King</t>
  </si>
  <si>
    <t>MP10-3538</t>
  </si>
  <si>
    <t>COMFORTER/SHAM: 180 THREAD COUNT COTTON, COTTON/POLYESTER REVERSE; BEDSKIRT: 180 THREAD COUNT COTTON/POLYESTER (DROP); PLATFORM: POLYESTER; PILLOW: 180 THREAD COUNT COTTON/POLYESTER, POLYESTER FILL; COMFORTER FILL: POLYESTER 270 GRAMS PER SQUARE METER</t>
  </si>
  <si>
    <t>679610796544</t>
  </si>
  <si>
    <t>Riverbrook Home Aileen 12 pc Queen Comforter S Grayspice Queen</t>
  </si>
  <si>
    <t>HALLMART COLLECTIBLES INC</t>
  </si>
  <si>
    <t>FIBER: 100% POLYESTER EXCLUSIVE OF DECORATION; FILLING: 100% POLYESTER</t>
  </si>
  <si>
    <t>675716320140</t>
  </si>
  <si>
    <t>Madison Park Amherst 7-Pc. King Comforter S Khaki King</t>
  </si>
  <si>
    <t>MP10-122</t>
  </si>
  <si>
    <t>COMFORTER, BEDSKIRT, SHAMS AND DECORATIVE PILLOWS: POLYESTER; COMFORTER AND DECORATIVE PILLOW FILL: POLYESTER</t>
  </si>
  <si>
    <t>732998868767</t>
  </si>
  <si>
    <t>Martha Stewart Collection Artisan Sunburst Patchwork Ful Orange FullQueen</t>
  </si>
  <si>
    <t>100084992FQ</t>
  </si>
  <si>
    <t>675716740047</t>
  </si>
  <si>
    <t>Madison Park Ashbury 5-Pc. Reversible Quilt Blue King</t>
  </si>
  <si>
    <t>MP13-2629</t>
  </si>
  <si>
    <t>BEDSPREAD AND SHAMS: MICROFIBER FROM POLYESTER 85 GRAMS PER SQUARE METER; DECORATIVE PILLOWS: POLYESTER; POLYESTER FILL; BEDSPREAD FILL: POLYESTER</t>
  </si>
  <si>
    <t>86569090676</t>
  </si>
  <si>
    <t>Madison Park 171 Grey KingCalifornia King</t>
  </si>
  <si>
    <t>MP13-6024</t>
  </si>
  <si>
    <t>POLYESTER MICROFIBER</t>
  </si>
  <si>
    <t>732996988924</t>
  </si>
  <si>
    <t>Martha Stewart Collection Stenciled Leaves FullQueen Qu Wine FullQueen</t>
  </si>
  <si>
    <t>100037784FQ</t>
  </si>
  <si>
    <t>733001386957</t>
  </si>
  <si>
    <t>Charter Club Damask Velvet 2 pc Twin Coverl Red Twin</t>
  </si>
  <si>
    <t>100108653TW</t>
  </si>
  <si>
    <t>732994215718</t>
  </si>
  <si>
    <t>Charter Club Damask Designs Paisley 300-Thr Spice Twin</t>
  </si>
  <si>
    <t>100022742TW</t>
  </si>
  <si>
    <t>FABRIC: 100% COTTON; POLYESTER FILL</t>
  </si>
  <si>
    <t>86569227942</t>
  </si>
  <si>
    <t>Martha Stewart Collection Down Alternative Reverse to Pl Blue Moon King</t>
  </si>
  <si>
    <t>10028644KG</t>
  </si>
  <si>
    <t>BRIGHTBLUE</t>
  </si>
  <si>
    <t>783048137395</t>
  </si>
  <si>
    <t>Truly Calm Truly Calm Antimicrobial 3 Pie Beigekhak King</t>
  </si>
  <si>
    <t>DCS3829KHKG-00</t>
  </si>
  <si>
    <t>83013274231</t>
  </si>
  <si>
    <t>Croscill Marlena Standard Quilt Sham White Standard Sham</t>
  </si>
  <si>
    <t>2B0-186O0-4770</t>
  </si>
  <si>
    <t>STDTAILOR</t>
  </si>
  <si>
    <t>732996193236</t>
  </si>
  <si>
    <t>Hotel Collection Locked Geo Cotton 26 x 26 Eu White European Sham</t>
  </si>
  <si>
    <t>100064696ER</t>
  </si>
  <si>
    <t>732996193243</t>
  </si>
  <si>
    <t>Hotel Collection Locked Geo Cotton King Sham White King Sham</t>
  </si>
  <si>
    <t>100064702KG</t>
  </si>
  <si>
    <t>883893525856</t>
  </si>
  <si>
    <t>Tommy Bahama Home Palms Away European Sham Ivory European Sham</t>
  </si>
  <si>
    <t>TOMMY BAHAMA/REVMAN INTERNATIONAL</t>
  </si>
  <si>
    <t>706255403602</t>
  </si>
  <si>
    <t>Martha Stewart Collection California King Pique Bedskirt Vanilla California King</t>
  </si>
  <si>
    <t>SPQCBSV822</t>
  </si>
  <si>
    <t>706255403626</t>
  </si>
  <si>
    <t>Martha Stewart Collection Martha Stewart Collection Piqu Vanilla Full</t>
  </si>
  <si>
    <t>SPQFBSV822</t>
  </si>
  <si>
    <t>706255403695</t>
  </si>
  <si>
    <t>Martha Stewart Collection Twin Pique Bedskirt Vanilla Twin</t>
  </si>
  <si>
    <t>SPQTBSV822</t>
  </si>
  <si>
    <t>732995740608</t>
  </si>
  <si>
    <t>Martha Stewart Collection Stenciled Leaves Standard Sham Blue Standard Sham</t>
  </si>
  <si>
    <t>706257208939</t>
  </si>
  <si>
    <t>Charter Club Damask Designs European Sham Butter European Sham</t>
  </si>
  <si>
    <t>DEUSGRDBT</t>
  </si>
  <si>
    <t>732997147191</t>
  </si>
  <si>
    <t>Charter Club Damask Designs Oak Leaf Cotton Green European Sham</t>
  </si>
  <si>
    <t>100058467ER</t>
  </si>
  <si>
    <t>732996151915</t>
  </si>
  <si>
    <t>Charter Club Damask Designs Textured Paisle Cobalt</t>
  </si>
  <si>
    <t>100058480ER</t>
  </si>
  <si>
    <t>733001386971</t>
  </si>
  <si>
    <t>Charter Club Damask Velvet Euro Sham Red European Sham</t>
  </si>
  <si>
    <t>100108659ER</t>
  </si>
  <si>
    <t>732998796053</t>
  </si>
  <si>
    <t>Charter Club Windowpane Cotton 550-Thread C Clean Chambray European Sham</t>
  </si>
  <si>
    <t>100081893EU</t>
  </si>
  <si>
    <t>732994582933</t>
  </si>
  <si>
    <t>Martha Stewart Collection Martha Stewart Collection Piqu Vanilla European Sham</t>
  </si>
  <si>
    <t>SPQESHV822</t>
  </si>
  <si>
    <t>83013301968</t>
  </si>
  <si>
    <t>Croscill Croscill Nomad Fingertip Towel Blue ONE SIZE</t>
  </si>
  <si>
    <t>6A0-094O0-8004</t>
  </si>
  <si>
    <t>CROSCILL HOME LLC</t>
  </si>
  <si>
    <t>21864379750</t>
  </si>
  <si>
    <t>Avanti Herringbone Washcloth Indigo 13x13</t>
  </si>
  <si>
    <t>023203IND</t>
  </si>
  <si>
    <t>732998127321</t>
  </si>
  <si>
    <t>NEW SWTH STR KG BASIC</t>
  </si>
  <si>
    <t>100090475KG</t>
  </si>
  <si>
    <t>732998127352</t>
  </si>
  <si>
    <t>NEW SWTH STR TW BASIC</t>
  </si>
  <si>
    <t>100090475TW</t>
  </si>
  <si>
    <t>726895969931</t>
  </si>
  <si>
    <t>Hotel Collection Madison Hemstitch King Flat Sh Oatmeal King</t>
  </si>
  <si>
    <t>100024654KG</t>
  </si>
  <si>
    <t>LINEN; LACE AND STITCHLINE DETAILING: COTTON</t>
  </si>
  <si>
    <t>732998869696</t>
  </si>
  <si>
    <t>Martha Stewart Collection Gilded Age Reversible FullQue Tan FullQueen</t>
  </si>
  <si>
    <t>100088179FQ</t>
  </si>
  <si>
    <t>732998795605</t>
  </si>
  <si>
    <t>Martha Stewart Collection Jacobean Reversible 3-Pc. King Jacobean King</t>
  </si>
  <si>
    <t>100079380KG</t>
  </si>
  <si>
    <t>FABRIC: COTTON; POLYESTER FILL 285 GRAMS PER SQUARE METER</t>
  </si>
  <si>
    <t>636047294425</t>
  </si>
  <si>
    <t>Greenland Home Fashions Cotton Voile Bed Skirt 18 Que White Queen</t>
  </si>
  <si>
    <t>GL-1109CBSQ</t>
  </si>
  <si>
    <t>GREENLAND HOME FASHIONS</t>
  </si>
  <si>
    <t>COTTON VOILE DROP WITH POLYESTER LINER, POLYESTER PLATFORM</t>
  </si>
  <si>
    <t>86569097477</t>
  </si>
  <si>
    <t>510 Design 119 Seafoam FullQueen</t>
  </si>
  <si>
    <t>5DS13-0170</t>
  </si>
  <si>
    <t>735732189715</t>
  </si>
  <si>
    <t>VCNY Home VCNY Home Casa Real Reversibl Multi King</t>
  </si>
  <si>
    <t>C10-5CS-KING-IN-MULT</t>
  </si>
  <si>
    <t>83013007136</t>
  </si>
  <si>
    <t>DRAFT - OLD UPC Croscill Aurel Blue European Sham</t>
  </si>
  <si>
    <t>2A0-502C0-4597</t>
  </si>
  <si>
    <t>726895525519</t>
  </si>
  <si>
    <t>Hotel Collection Plume King Bedskirt White King</t>
  </si>
  <si>
    <t>1005781KG</t>
  </si>
  <si>
    <t>784857909920</t>
  </si>
  <si>
    <t>Idea Nuova Holiday Tree 17-Pc. Bath Set Multi No Size</t>
  </si>
  <si>
    <t>YK699437</t>
  </si>
  <si>
    <t>846339099830</t>
  </si>
  <si>
    <t>Piper Wright Emily Alloy Grey Boudoir Decor Grey No Size</t>
  </si>
  <si>
    <t>2448044BOUDR</t>
  </si>
  <si>
    <t>PIPER AND WRIGHT/J QUEEN NEW YORK</t>
  </si>
  <si>
    <t>SHELL: COTTON; FILLING: POLYESTER</t>
  </si>
  <si>
    <t>732996412641</t>
  </si>
  <si>
    <t>Martha Stewart Collection Whim by Martha Stewart Collect Cat Full</t>
  </si>
  <si>
    <t>100061665FL</t>
  </si>
  <si>
    <t>732998021162</t>
  </si>
  <si>
    <t>Charter Club Damask Designs Outline Cimaron Red Twin</t>
  </si>
  <si>
    <t>100058460TW</t>
  </si>
  <si>
    <t>FABRIC: 100% COTTON; THREAD COUNT: 300</t>
  </si>
  <si>
    <t>86569134004</t>
  </si>
  <si>
    <t>Woolrich Plaid Down-Alternative Sherpa Tan 50x70</t>
  </si>
  <si>
    <t>WR50-2498</t>
  </si>
  <si>
    <t>FACE: 100% POLYESTER FLANNEL-LIKE FABRIC; REVERSE: 100% POLYESTER SOLID BERBER; 100% POLYESTER DOWN ALTERNATIVE FILLING</t>
  </si>
  <si>
    <t>732996412405</t>
  </si>
  <si>
    <t>Martha Stewart Collection Whim by Martha Stewart Collect Frenchie Twin XL</t>
  </si>
  <si>
    <t>100061689XL</t>
  </si>
  <si>
    <t>733001452027</t>
  </si>
  <si>
    <t>Martha Stewart Collection CLOSEOUT Letters to Santa 14 Red 14x20</t>
  </si>
  <si>
    <t>706255888898</t>
  </si>
  <si>
    <t>Hotel Collection Turkish 20 x 34 Bath Rug Ivory 20 x 34</t>
  </si>
  <si>
    <t>HTRKSH2X3IV</t>
  </si>
  <si>
    <t>34X20</t>
  </si>
  <si>
    <t>706255888867</t>
  </si>
  <si>
    <t>Hotel Collection Turkish 18 x 25 Bath Rug Marine 18 x 25</t>
  </si>
  <si>
    <t>HTRKSH1X2MR</t>
  </si>
  <si>
    <t>732995473919</t>
  </si>
  <si>
    <t>Charter Club Damask Designs Engraved Flower Grey European Sham</t>
  </si>
  <si>
    <t>100037377ER</t>
  </si>
  <si>
    <t>21864390502</t>
  </si>
  <si>
    <t>Avanti Beaufort Ivory Bath Towel Ivory ONE SIZE</t>
  </si>
  <si>
    <t>025261IVR</t>
  </si>
  <si>
    <t>21864376858</t>
  </si>
  <si>
    <t>Avanti Avanti Happy Pawlidays 3-Pc. L Ivory</t>
  </si>
  <si>
    <t>03323LPFTIVR</t>
  </si>
  <si>
    <t>LOTION PUMP: CERAMIC; TOWELS: 100% COTTON EXCLUSIVE OF EMBELLISHMENT</t>
  </si>
  <si>
    <t>21864379682</t>
  </si>
  <si>
    <t>Avanti Herringbone Bath Twoel Smoke ONE SIZE</t>
  </si>
  <si>
    <t>023201SMK</t>
  </si>
  <si>
    <t>99446355591</t>
  </si>
  <si>
    <t>Nourison Floral Blooms 18 x 30 Accent Multicolor</t>
  </si>
  <si>
    <t>ACCD688JTMTC020032</t>
  </si>
  <si>
    <t>NOURISON INDUSTRIES INC</t>
  </si>
  <si>
    <t>99446324924</t>
  </si>
  <si>
    <t>Nourison Faith Butterfly 18 x 30 Acce Ivory No Size</t>
  </si>
  <si>
    <t>ACCD638JTIV018030</t>
  </si>
  <si>
    <t>30X18</t>
  </si>
  <si>
    <t>726895380101</t>
  </si>
  <si>
    <t>Hotel Collection Plume King Comforter White King</t>
  </si>
  <si>
    <t>1001517KG</t>
  </si>
  <si>
    <t>FRONT: COTTON/POLYESTER; BACK: COTTON; FILL: POLYESTER</t>
  </si>
  <si>
    <t>86569038722</t>
  </si>
  <si>
    <t>JLA Home Madison Park Elise Queen 8 Pie Purple Queen</t>
  </si>
  <si>
    <t>MP10-5960</t>
  </si>
  <si>
    <t>COMFORTER/SHAM - 144TC COTTON PERCALE, 132TC COTTON/POLYESTER REVERSE, DECORATIVE PILLOW/EURO SHAM - COTTON/POLYESTER, BEDSKIRT DROP - COTTON, BEDSKIRT PLATFORM - POLYESTER, COMFORTER/DECORATIVE PILLOW FILL - 100% POLYESTER</t>
  </si>
  <si>
    <t>783048113191</t>
  </si>
  <si>
    <t>400TC PERCALE</t>
  </si>
  <si>
    <t>DCS3307IBQ-1800</t>
  </si>
  <si>
    <t>YOUNG CL HOME</t>
  </si>
  <si>
    <t>CHARISMA/PEM AMERICA INC</t>
  </si>
  <si>
    <t>732998868828</t>
  </si>
  <si>
    <t>Martha Stewart Collection Artisan Sunburst Patchwork Twi Orange TwinTwin XL</t>
  </si>
  <si>
    <t>100084992TW</t>
  </si>
  <si>
    <t>883893463929</t>
  </si>
  <si>
    <t>MIRRORED SQUARE BREA BASIC</t>
  </si>
  <si>
    <t>VERA WANG/REVMAN INTERNATIONAL INC</t>
  </si>
  <si>
    <t>MADE IN INDIA</t>
  </si>
  <si>
    <t>COVER: COTTON SATEEN; POLYESTER EMBROIDERY THREAD; FILL: FEATHERS/DOWN</t>
  </si>
  <si>
    <t>86569065995</t>
  </si>
  <si>
    <t>Intelligent Design Adele 4-Pc. TwinTwin XL Comfo BlushGold TwinTwin XL</t>
  </si>
  <si>
    <t>ID10-1341</t>
  </si>
  <si>
    <t>FABRIC: POLYESTER; POLYESTER FILL 85 GSM (COMFORTER/PILLOW)</t>
  </si>
  <si>
    <t>675716516222</t>
  </si>
  <si>
    <t>Mi Zone Alice 4-Pc. FullQueen Coverle Yellow FullQueen</t>
  </si>
  <si>
    <t>MZ80-203</t>
  </si>
  <si>
    <t>COVERLET/SHAM: POLYESTER 85 GRAMS; PILLOW COVER: POLYESTER; PILLOW FILL: POLYESTER; COVERLET FILL: COTTON 200 GRAMS PER SQUARE METER</t>
  </si>
  <si>
    <t>783048120854</t>
  </si>
  <si>
    <t>Cottage Classics Cottage Classics Spa Stripe Fu Multi FullQueen</t>
  </si>
  <si>
    <t>CS3486FQ-1500</t>
  </si>
  <si>
    <t>651348296954</t>
  </si>
  <si>
    <t>Sure Fit Mika Pocket Rod Black Out Drap Linen 54x84</t>
  </si>
  <si>
    <t>414162600102SP5484</t>
  </si>
  <si>
    <t>83/84 SGL</t>
  </si>
  <si>
    <t>194938008235</t>
  </si>
  <si>
    <t>Home Boutique CLOSEOUT 3-Piece Microfiber K Floral King</t>
  </si>
  <si>
    <t>16T006510</t>
  </si>
  <si>
    <t>728455262254</t>
  </si>
  <si>
    <t>AUBERGE BASIC</t>
  </si>
  <si>
    <t>T334-N-BTOW</t>
  </si>
  <si>
    <t>MATOUK/JOHN MATOUK AND CO INC</t>
  </si>
  <si>
    <t>726895863819</t>
  </si>
  <si>
    <t>Hotel Collection Linen Standard Sham White Standard Sham</t>
  </si>
  <si>
    <t>100028121SD</t>
  </si>
  <si>
    <t>IN LINEN, A LIGHTWEIGHT YEAR-ROUND FABRIC THAT GETS SOFTER WITH EVERY WASH</t>
  </si>
  <si>
    <t>86569898562</t>
  </si>
  <si>
    <t>Madison Park Sachi Oversized 60 x 70 Prin Gray 60x70</t>
  </si>
  <si>
    <t>MP50-4906</t>
  </si>
  <si>
    <t>FAUX-FUR FABRIC: POLYESTER</t>
  </si>
  <si>
    <t>26865854237</t>
  </si>
  <si>
    <t>Elrene All Seasons Blackout Waterfall Silver 52x36</t>
  </si>
  <si>
    <t>79465728965</t>
  </si>
  <si>
    <t>Charisma Charisma Solid Bath Towel Wild Rose</t>
  </si>
  <si>
    <t>M469T0</t>
  </si>
  <si>
    <t>CHARISMA/WESTPT HOME/DNU(601/208)</t>
  </si>
  <si>
    <t>728455263046</t>
  </si>
  <si>
    <t>T334-L-TMTOW</t>
  </si>
  <si>
    <t>TUB MAT</t>
  </si>
  <si>
    <t>191790022591</t>
  </si>
  <si>
    <t>AQ Textiles T300 Cotton Blend 6 pc Print Q Lavender Queen</t>
  </si>
  <si>
    <t>71022103071AQT</t>
  </si>
  <si>
    <t>LT/PAS PUR</t>
  </si>
  <si>
    <t>675716550769</t>
  </si>
  <si>
    <t>Madison Park Irina 50 x 84 Embroidered Di Ivory 50x84</t>
  </si>
  <si>
    <t>MP40-1065</t>
  </si>
  <si>
    <t>8889134441</t>
  </si>
  <si>
    <t>MYRA BATH TOWEL</t>
  </si>
  <si>
    <t>UGG HOME/BRITANNICA HOME FASHIONS</t>
  </si>
  <si>
    <t>MADE IN TURKEY</t>
  </si>
  <si>
    <t>27399025612</t>
  </si>
  <si>
    <t>Vellux Brushed Microfleece Queen Blan Winter White Queen</t>
  </si>
  <si>
    <t>A1C6PB62180</t>
  </si>
  <si>
    <t>680656136799</t>
  </si>
  <si>
    <t>Decopolitan Decopolitan 1-Inch Urn Telesco Black</t>
  </si>
  <si>
    <t>DECOPOLITAN/BEME INTERNATIONAL LLC</t>
  </si>
  <si>
    <t>8889134458</t>
  </si>
  <si>
    <t>MYRA HAND TOWEL</t>
  </si>
  <si>
    <t>706255888843</t>
  </si>
  <si>
    <t>Hotel Collection Turkish 18 x 25 Bath Rug Ivory 18 x 25</t>
  </si>
  <si>
    <t>HTRKSH1X2IV</t>
  </si>
  <si>
    <t>29927440249</t>
  </si>
  <si>
    <t>Sun Zero Sun Zero Preston 40 x 63 Gro Barley 40x63</t>
  </si>
  <si>
    <t>29927440539</t>
  </si>
  <si>
    <t>No. 918 Clifford Tab Top 40 x 84 Pan Ecru 40x84</t>
  </si>
  <si>
    <t>40X84/7</t>
  </si>
  <si>
    <t>21864350131</t>
  </si>
  <si>
    <t>Avanti Galaxy Chevron 16 x 30 Hand Black</t>
  </si>
  <si>
    <t>038492BLK</t>
  </si>
  <si>
    <t>MADE IN USA AND IMPORTED</t>
  </si>
  <si>
    <t>728455262391</t>
  </si>
  <si>
    <t>T334-H-HTOW</t>
  </si>
  <si>
    <t>83013122419</t>
  </si>
  <si>
    <t>Croscill Magnolia Collection Shower Hoo Bronze</t>
  </si>
  <si>
    <t>6A0-062O0-0277</t>
  </si>
  <si>
    <t>RESIN</t>
  </si>
  <si>
    <t>99446773371</t>
  </si>
  <si>
    <t>Nourison Cassandra Watercolor Floral Ac Beige</t>
  </si>
  <si>
    <t>WATCWCL75BGE020034</t>
  </si>
  <si>
    <t>728455262759</t>
  </si>
  <si>
    <t>T334-C-FTOW</t>
  </si>
  <si>
    <t>728455262827</t>
  </si>
  <si>
    <t>T334-K-FTOW</t>
  </si>
  <si>
    <t>728455262919</t>
  </si>
  <si>
    <t>T334-S-FTOW</t>
  </si>
  <si>
    <t>21864231539</t>
  </si>
  <si>
    <t>Avanti Damask Fringe Jacquard Fingert Mocha</t>
  </si>
  <si>
    <t>012284MOC</t>
  </si>
  <si>
    <t>COTTON, EXCLUSIVE OF EMBELLISHMENT</t>
  </si>
  <si>
    <t>21864347193</t>
  </si>
  <si>
    <t>Avanti Galaxy Chevron 11 x 18 Finge Nickel</t>
  </si>
  <si>
    <t>038494NKL</t>
  </si>
  <si>
    <t>734737557956</t>
  </si>
  <si>
    <t>Sunham Laguna MicroCotton Wash Towel Dusty Pink</t>
  </si>
  <si>
    <t>T18514R4251313</t>
  </si>
  <si>
    <t>728455262643</t>
  </si>
  <si>
    <t>T334-L-WTOW</t>
  </si>
  <si>
    <t>800298407044</t>
  </si>
  <si>
    <t>Donna Karan Collection City Stripe Washcloth Ocean</t>
  </si>
  <si>
    <t>ECC200567TAN</t>
  </si>
  <si>
    <t>21864379774</t>
  </si>
  <si>
    <t>Avanti Herringbone Washcloth Sea 13x13</t>
  </si>
  <si>
    <t>023203SEA</t>
  </si>
  <si>
    <t>732994993982</t>
  </si>
  <si>
    <t>Charter Club Plaid Cotton 13 x 13 Wash To Cornflower Blue Washcloths</t>
  </si>
  <si>
    <t>766195440679</t>
  </si>
  <si>
    <t>Tommy Hilfiger All American II Cotton Washclo Seaglass Washcloths</t>
  </si>
  <si>
    <t>079387TH018</t>
  </si>
  <si>
    <t>732996445175</t>
  </si>
  <si>
    <t>Charter Club Cotton 13 x 13 Wash Towel Storm Grey Washcloths</t>
  </si>
  <si>
    <t>800298413687</t>
  </si>
  <si>
    <t>DKNY SWEET DREAMS STRIPEBASIC</t>
  </si>
  <si>
    <t>SWD176170TAN</t>
  </si>
  <si>
    <t>735837574270</t>
  </si>
  <si>
    <t>Hotel Collection European White Goose Down Firm White King</t>
  </si>
  <si>
    <t>HWGDKF15</t>
  </si>
  <si>
    <t>REMOVABLE OUTER COVER: 100% COTTON; FILL: GOOSE DOWN; FILL POWER: 700</t>
  </si>
  <si>
    <t>732996465197</t>
  </si>
  <si>
    <t>Hotel Collection 680 Thread-Count King Duvet Co White King</t>
  </si>
  <si>
    <t>100067900KG</t>
  </si>
  <si>
    <t>883893483934</t>
  </si>
  <si>
    <t>Marimekko Unikko 3-Pc. King Comforter Se Dark Red King</t>
  </si>
  <si>
    <t>MARIMEKKO/REVMAN INTERNATIONAL</t>
  </si>
  <si>
    <t>COMFORTER AND SHAMS: COTTON; COMFORTER FILL: POLYESTER</t>
  </si>
  <si>
    <t>732999521678</t>
  </si>
  <si>
    <t>Hotel Collection Hotel Collection Cambria Full White FullQueen</t>
  </si>
  <si>
    <t>100106836FQ</t>
  </si>
  <si>
    <t>636206070501</t>
  </si>
  <si>
    <t>Hotel Collection Dimensional FullQueen Duvet C Blue FullQueen</t>
  </si>
  <si>
    <t>100041067FQ</t>
  </si>
  <si>
    <t>732995895407</t>
  </si>
  <si>
    <t>Hotel Collection Metallic Stone King Duvet Cove Gold King</t>
  </si>
  <si>
    <t>100038519KG</t>
  </si>
  <si>
    <t>POLYESTER / RAYON; REVERSES TO COTTON</t>
  </si>
  <si>
    <t>735837574249</t>
  </si>
  <si>
    <t>Hotel Collection European White Goose Down Medi White Standard</t>
  </si>
  <si>
    <t>HWGDJM12</t>
  </si>
  <si>
    <t>733001092568</t>
  </si>
  <si>
    <t>Hotel Collection Hydrangea FullQueen Duvet, Cr White FullQueen</t>
  </si>
  <si>
    <t>100100614FQ</t>
  </si>
  <si>
    <t>733001891819</t>
  </si>
  <si>
    <t>Martha Stewart Collection Floral Embroidered Geo King Qu White KingCalifornia King</t>
  </si>
  <si>
    <t>100115800KG</t>
  </si>
  <si>
    <t>732994723664</t>
  </si>
  <si>
    <t>Charter Club Damask Designs Seersucker Cott White Grey FullQueen</t>
  </si>
  <si>
    <t>100023821FQ</t>
  </si>
  <si>
    <t>FABRIC: 100% COTTON; THREAD COUNT: 150</t>
  </si>
  <si>
    <t>733001381631</t>
  </si>
  <si>
    <t>Charter Club Matelasse Ribbed 3-Pc. King C White King</t>
  </si>
  <si>
    <t>100108510KG</t>
  </si>
  <si>
    <t>732999611843</t>
  </si>
  <si>
    <t>Charter Club Damask Designs Texture Dot Kin Castaway King</t>
  </si>
  <si>
    <t>100088998KG</t>
  </si>
  <si>
    <t>706258088653</t>
  </si>
  <si>
    <t>Charter Club Damask Supima Cotton 550-Threa Marina Dark Blue King</t>
  </si>
  <si>
    <t>DLDSLKGSMAR</t>
  </si>
  <si>
    <t>788904113353</t>
  </si>
  <si>
    <t>Royal Luxe White Goose 240-Thread Count K White King</t>
  </si>
  <si>
    <t>DOWN FILL</t>
  </si>
  <si>
    <t>706258049197</t>
  </si>
  <si>
    <t>Charter Club Damask Supima Cotton 550-Threa Red Currant Dark Red Queen</t>
  </si>
  <si>
    <t>DLDSLQNSRED</t>
  </si>
  <si>
    <t>706258090205</t>
  </si>
  <si>
    <t>Charter Club Damask Supima Cotton 550-Threa White Queen</t>
  </si>
  <si>
    <t>DLLSLQNSWHT</t>
  </si>
  <si>
    <t>706258633358</t>
  </si>
  <si>
    <t>Charter Club Damask Designs Diamond Dot Cot White FullQueen</t>
  </si>
  <si>
    <t>D2FQCDDOTW</t>
  </si>
  <si>
    <t>732997494066</t>
  </si>
  <si>
    <t>Charter Club Damask Cotton 550-Thread Count Marina Twin</t>
  </si>
  <si>
    <t>100068882TW</t>
  </si>
  <si>
    <t>191790036741</t>
  </si>
  <si>
    <t>Austin Home Collection Linden 900-Thread Count 4-Pc. White California King</t>
  </si>
  <si>
    <t>24912105001AQT</t>
  </si>
  <si>
    <t>732998018674</t>
  </si>
  <si>
    <t>Charter Club Damask Designs White Chunky 50 White</t>
  </si>
  <si>
    <t>734737422957</t>
  </si>
  <si>
    <t>Fairfield Square Collection Austin 8-Pc. Reversible Comfor Red Queen</t>
  </si>
  <si>
    <t>15977229V</t>
  </si>
  <si>
    <t>191790041950</t>
  </si>
  <si>
    <t>AQ Textiles T500 Woven Jacquard Queen Size Taupe Queen</t>
  </si>
  <si>
    <t>19482103025AQT</t>
  </si>
  <si>
    <t>LT/PAS BWN</t>
  </si>
  <si>
    <t>732996249995</t>
  </si>
  <si>
    <t>Charter Club 360 Down Chamber 325-Thread Co White Standard</t>
  </si>
  <si>
    <t>100069643SQ</t>
  </si>
  <si>
    <t>788904130602</t>
  </si>
  <si>
    <t>Royal Luxe Royal Luxe Microfiber Color Do Sage FullQueen</t>
  </si>
  <si>
    <t>190714335625</t>
  </si>
  <si>
    <t>Lacourte Dana 50 x 60 Decorative Thro Blue 50x60</t>
  </si>
  <si>
    <t>1125441BLU50X60</t>
  </si>
  <si>
    <t>91116725543</t>
  </si>
  <si>
    <t>Sanders Holiday Microfiber 5 Piece Que Neve Queen</t>
  </si>
  <si>
    <t>HDYSS2Q</t>
  </si>
  <si>
    <t>784857925951</t>
  </si>
  <si>
    <t>Pure Bath Brighton 2-Pc. Mottled Bath Ru Beige No Size</t>
  </si>
  <si>
    <t>YK700135</t>
  </si>
  <si>
    <t>96675311015</t>
  </si>
  <si>
    <t>SensorGel Wellness Collection by Suppor White Standard</t>
  </si>
  <si>
    <t>COVER: 230 GSM POLYESTER, FILL: MEMORY FOAM CLUSTERS</t>
  </si>
  <si>
    <t>706258089452</t>
  </si>
  <si>
    <t>Charter Club Damask Pima Cotton 550-Thread White European Sham</t>
  </si>
  <si>
    <t>DLLSLEUHWHT</t>
  </si>
  <si>
    <t>646998643401</t>
  </si>
  <si>
    <t>CHF Coco 50 x 84 Ogee-Print Rod Blue 50x84</t>
  </si>
  <si>
    <t>1-40430GBL</t>
  </si>
  <si>
    <t>706258050865</t>
  </si>
  <si>
    <t>Charter Club Damask Stripe Supima Cotton 55 White Standard Pillowcases</t>
  </si>
  <si>
    <t>DLLSTSPCWHT</t>
  </si>
  <si>
    <t>706258090229</t>
  </si>
  <si>
    <t>Charter Club Damask Supima Cotton 550-Threa White Standard Pillowcases</t>
  </si>
  <si>
    <t>DLLSLSPCWHT</t>
  </si>
  <si>
    <t>706254714402</t>
  </si>
  <si>
    <t>Hotel Collection Hotel Collection Finest Elegan Ice Blue Hand Towels</t>
  </si>
  <si>
    <t>HTLELITEHB</t>
  </si>
  <si>
    <t>706254463232</t>
  </si>
  <si>
    <t>Hotel Collection Ultimate MicroCotton 16 x 30 White Hand Towels</t>
  </si>
  <si>
    <t>HTLMCHWHT</t>
  </si>
  <si>
    <t>846339080418</t>
  </si>
  <si>
    <t>J Queen New York J Queen New York Astoria King White King</t>
  </si>
  <si>
    <t>2236020KCS</t>
  </si>
  <si>
    <t>675716698331</t>
  </si>
  <si>
    <t>Madison Park Amherst 7-Pc. King Comforter S Navy King</t>
  </si>
  <si>
    <t>MP10-2208</t>
  </si>
  <si>
    <t>675716924546</t>
  </si>
  <si>
    <t>Madison Park Aubrey 5-Pc. Queen Bedspread S Brown Queen</t>
  </si>
  <si>
    <t>MP13-4338</t>
  </si>
  <si>
    <t>BEDSPREAD/SHAM/PILLOW: POLYESTER; BEDSPREAD FILL: COTTON/POLYESTER/OTHER 240 GRAMS PER SQUARE METER; PILLOW FILL: POLYESTER</t>
  </si>
  <si>
    <t>843145111534</t>
  </si>
  <si>
    <t>Chic Home Chic Home Kaiah 3-Pc. King Com Coral King</t>
  </si>
  <si>
    <t>BCS11534</t>
  </si>
  <si>
    <t>679610773309</t>
  </si>
  <si>
    <t>Riverbrook Home Verdugo 7 Pc King Comforter Se YellowGrey King</t>
  </si>
  <si>
    <t>FIBER: POLYESTER, FILLING: POLYESTER</t>
  </si>
  <si>
    <t>783048036957</t>
  </si>
  <si>
    <t>Style 212 Calista 12-Pc. Medallion-Print Grey King</t>
  </si>
  <si>
    <t>CS2177KG12-1300</t>
  </si>
  <si>
    <t>732994620499</t>
  </si>
  <si>
    <t>Charter Club Damask Designs Embroidered Lat Blue Twin</t>
  </si>
  <si>
    <t>100021988TW</t>
  </si>
  <si>
    <t>FABRIC: COTTON; THREAD COUNT: 300; POLYESTER FILLING</t>
  </si>
  <si>
    <t>675716533939</t>
  </si>
  <si>
    <t>Intelligent Design Caleb 5-Pc. FullQueen Comfort Multi FullQueen</t>
  </si>
  <si>
    <t>ID10-175</t>
  </si>
  <si>
    <t>COMFORTER SET: POLYESTER; COMFORTER FILL: POLYESTER 200 GRAMS PER SQUARE METER; PILLOW FILL: POLYESTER</t>
  </si>
  <si>
    <t>86569174840</t>
  </si>
  <si>
    <t>Madison Park Cassandra KingCalifornia King Blush KingCalifornia King</t>
  </si>
  <si>
    <t>MP13-6170</t>
  </si>
  <si>
    <t>COVERLET/SHAM: COTTON FACE, COTTON/POLYESTER BACK, POLYESTER/COTTON FILLING; DECORATIVE PILLOW: POLYESTER/COTTON COVER WITH POLYESTER FILLING</t>
  </si>
  <si>
    <t>783048024121</t>
  </si>
  <si>
    <t>Truly Soft Truly Soft Everyday Red and Gr Light Blue And Sage FullQueen</t>
  </si>
  <si>
    <t>CS1656LBSFQ-17</t>
  </si>
  <si>
    <t>100% MICROFIBER FACE AND BACK. FILLED WITH 100% HYPOALLERGENIC POLYESTER.</t>
  </si>
  <si>
    <t>732995626865</t>
  </si>
  <si>
    <t>Hotel Collection Woodrose Cotton 400-Thread Cou Medium Pink Standard Sham</t>
  </si>
  <si>
    <t>100041751SD</t>
  </si>
  <si>
    <t>675716493127</t>
  </si>
  <si>
    <t>Madison Park Bayside Cotton 72 x 72 Seash Blue No Size</t>
  </si>
  <si>
    <t>MP70-645</t>
  </si>
  <si>
    <t>86569902856</t>
  </si>
  <si>
    <t>SunSmart Mirage 50 x 108 Damask Total Charcoal 50x108</t>
  </si>
  <si>
    <t>SS40-0021</t>
  </si>
  <si>
    <t>675716571924</t>
  </si>
  <si>
    <t>Madison Park Saratoga 50 x 95 Fretwork-Pr Grey 50x95</t>
  </si>
  <si>
    <t>MP40-1284</t>
  </si>
  <si>
    <t>POLYESTER/RAYON/COTTON</t>
  </si>
  <si>
    <t>848742073919</t>
  </si>
  <si>
    <t>Lush Decor Rowley Birds 18 x 52 Window Multi ONE SIZE</t>
  </si>
  <si>
    <t>16T002990</t>
  </si>
  <si>
    <t>VALA15X52</t>
  </si>
  <si>
    <t>675716571917</t>
  </si>
  <si>
    <t>Madison Park Saratoga 50 x 84 Fretwork-Pr Grey 50x84</t>
  </si>
  <si>
    <t>MP40-1282</t>
  </si>
  <si>
    <t>POLYESTER/COTTON/RAYON</t>
  </si>
  <si>
    <t>706258091226</t>
  </si>
  <si>
    <t>Charter Club Damask Pima Cotton 550-Thread Medium Ivory King</t>
  </si>
  <si>
    <t>DNSLDKGBIVY</t>
  </si>
  <si>
    <t>810029192835</t>
  </si>
  <si>
    <t>HLC.me Lumino by HLC.me Perth Semi Sh Ivory 54x84</t>
  </si>
  <si>
    <t>2PCSSHRGRIVRY84</t>
  </si>
  <si>
    <t>SAKATTA INC</t>
  </si>
  <si>
    <t>746885401715</t>
  </si>
  <si>
    <t>Miller Curtains Morris 50 x 84 Textured Wind Linen 50x84</t>
  </si>
  <si>
    <t>MC00X72923684</t>
  </si>
  <si>
    <t>885308457325</t>
  </si>
  <si>
    <t>Pairs To Go Montana Panel Pair Black 60x84</t>
  </si>
  <si>
    <t>15999060X084BLK</t>
  </si>
  <si>
    <t>60% COTTON/40% POLYESTER</t>
  </si>
  <si>
    <t>783048113467</t>
  </si>
  <si>
    <t>Pem America Darlene 3 pc twin comforter mi Yellow Twin</t>
  </si>
  <si>
    <t>CS3316TW-1540</t>
  </si>
  <si>
    <t>675716682828</t>
  </si>
  <si>
    <t>Madison Park Saratoga 50 x 18 Fretwork-Pr Grey 50x18</t>
  </si>
  <si>
    <t>MP41-2020</t>
  </si>
  <si>
    <t>FABRIC: POLYESTER/COTTON/RAYON</t>
  </si>
  <si>
    <t>735732106477</t>
  </si>
  <si>
    <t>VCNY Home VCNY Home Dublin Cable Knit Co Grey Throw</t>
  </si>
  <si>
    <t>DUI-PLW-1818-BB-GREY</t>
  </si>
  <si>
    <t>21864276868</t>
  </si>
  <si>
    <t>Avanti Galaxy Hand Towel ivory</t>
  </si>
  <si>
    <t>732996565040</t>
  </si>
  <si>
    <t>Martha Stewart Collection Poinsettia 2-Pc. Fingertip Set White Combo No Size</t>
  </si>
  <si>
    <t>732994993647</t>
  </si>
  <si>
    <t>Charter Club Elite Hygro Cotton Bath Towel Pale Daffodil Bath Towels</t>
  </si>
  <si>
    <t>735837574201</t>
  </si>
  <si>
    <t>Hotel Collection European White Goose Down Heav White FullQueen</t>
  </si>
  <si>
    <t>HWGDQH08</t>
  </si>
  <si>
    <t>846339080333</t>
  </si>
  <si>
    <t>J Queen New York J Queen New York Astoria King Mink King</t>
  </si>
  <si>
    <t>2235096KCS</t>
  </si>
  <si>
    <t>96675611344</t>
  </si>
  <si>
    <t>SensorGel Sensor Gel SlumberMax Hybrid 4 White King</t>
  </si>
  <si>
    <t>732997716281</t>
  </si>
  <si>
    <t>Martha Stewart Collection Wedding Rings Queen Bedspread Maroon Full</t>
  </si>
  <si>
    <t>100070850QN</t>
  </si>
  <si>
    <t>636047397119</t>
  </si>
  <si>
    <t>Greenland Home Fashions Greenland Home Fashions Perry Multi FullQueen</t>
  </si>
  <si>
    <t>GL-1809JMSQ</t>
  </si>
  <si>
    <t>POLYESTER MICROFIBER, COTTON</t>
  </si>
  <si>
    <t>732994200592</t>
  </si>
  <si>
    <t>Martha Stewart Collection Rustic Reversible Yarn-Dyed St Grey FullQueen</t>
  </si>
  <si>
    <t>YDRUSTCFQ</t>
  </si>
  <si>
    <t>SHELL: COTTON; FILL: COTTON</t>
  </si>
  <si>
    <t>733001335108</t>
  </si>
  <si>
    <t>Charter Club Damask Designs 550-Thread Coun Cornflower Queen</t>
  </si>
  <si>
    <t>100108502QN</t>
  </si>
  <si>
    <t>191790037649</t>
  </si>
  <si>
    <t>AQ Textiles Ultra Lux T800 Cotton 4 piece Ivory King</t>
  </si>
  <si>
    <t>24942104003AQT</t>
  </si>
  <si>
    <t>732995555004</t>
  </si>
  <si>
    <t>Charter Club Sleep Cool Egyptian Hygro Cott Denim Sky Queen</t>
  </si>
  <si>
    <t>100048387QN</t>
  </si>
  <si>
    <t>CHARTER CLUB-EDI/RWI/WELSPUN</t>
  </si>
  <si>
    <t>EGYPTIAN COTTON</t>
  </si>
  <si>
    <t>191790024564</t>
  </si>
  <si>
    <t>Fairfield Square Collection Brookline 1400-Thread Count 6- Grey California King</t>
  </si>
  <si>
    <t>23302105082AQT</t>
  </si>
  <si>
    <t>191790024502</t>
  </si>
  <si>
    <t>Fairfield Square Collection Brookline 1400-Thread Count 6- Sky Blue King</t>
  </si>
  <si>
    <t>23302104175AQT</t>
  </si>
  <si>
    <t>27399034300</t>
  </si>
  <si>
    <t>Vellux Sheared Mink FullQueen Charco Walnut Brown FullQueen</t>
  </si>
  <si>
    <t>A1C8034300</t>
  </si>
  <si>
    <t>734737620254</t>
  </si>
  <si>
    <t>Sunham Paris 12-Pc. Reversible Comfor Gray Queen</t>
  </si>
  <si>
    <t>734737485655</t>
  </si>
  <si>
    <t>Fairfield Square Collection Austin 8-Pc. Reversible Comfor Blue Queen</t>
  </si>
  <si>
    <t>1575C229V</t>
  </si>
  <si>
    <t>783048124715</t>
  </si>
  <si>
    <t>Pem America Blue Watercolor Floral Queen 8 Blue Queen</t>
  </si>
  <si>
    <t>BIB3544QN-3240</t>
  </si>
  <si>
    <t>783048124777</t>
  </si>
  <si>
    <t>Pem America Floral Bouquet Queen 8PC Comfo Purple Queen</t>
  </si>
  <si>
    <t>BIB3546QN-3240</t>
  </si>
  <si>
    <t>860001187564</t>
  </si>
  <si>
    <t>Happycare Textiles Happycare Tex Diamond Embossed Platinum King</t>
  </si>
  <si>
    <t>HCT BKT001LIGHT GRAY</t>
  </si>
  <si>
    <t>HAPPYCARE TEXTILES INC</t>
  </si>
  <si>
    <t>191790040939</t>
  </si>
  <si>
    <t>AQ Textiles Camden 1250 thread count 4 pc Blue Queen</t>
  </si>
  <si>
    <t>25542103002AQT</t>
  </si>
  <si>
    <t>733001487388</t>
  </si>
  <si>
    <t>Martha Stewart Collection Whim by Martha Stewart Collect NYC Full</t>
  </si>
  <si>
    <t>100103335FL</t>
  </si>
  <si>
    <t>732996412818</t>
  </si>
  <si>
    <t>Martha Stewart Collection Whim by Martha Stewart Collect Grey Dot Full</t>
  </si>
  <si>
    <t>100071586FL</t>
  </si>
  <si>
    <t>706258051299</t>
  </si>
  <si>
    <t>Charter Club Damask Pima Cotton 550-Thread White Queen</t>
  </si>
  <si>
    <t>DNSLDQNBWHT</t>
  </si>
  <si>
    <t>766360449490</t>
  </si>
  <si>
    <t>Hotel Collection Turkish 30 x 56 Bath Towel Ivory Bath Towels</t>
  </si>
  <si>
    <t>HTLTURBIVO</t>
  </si>
  <si>
    <t>32281257477</t>
  </si>
  <si>
    <t>Disney Disney Pillow Buddy Disney Minnie Standard</t>
  </si>
  <si>
    <t>JF25747</t>
  </si>
  <si>
    <t>706258615347</t>
  </si>
  <si>
    <t>Martha Stewart Collection Essentials Classic Quilted Ful White Full</t>
  </si>
  <si>
    <t>100058088FU</t>
  </si>
  <si>
    <t>706257490624</t>
  </si>
  <si>
    <t>Martha Stewart Collection Spa Bath Sheet Mourning Dove Bath Sheets</t>
  </si>
  <si>
    <t>MSPLSHSMDV</t>
  </si>
  <si>
    <t>KG/BATHSHT</t>
  </si>
  <si>
    <t>733001222026</t>
  </si>
  <si>
    <t>Martha Stewart Collection Quilted Medallion Standard Sha White Standard Sham</t>
  </si>
  <si>
    <t>100106476ST</t>
  </si>
  <si>
    <t>706254463072</t>
  </si>
  <si>
    <t>Hotel Collection Ultimate MicroCotton 30 x 5 Midnight Bath Towels</t>
  </si>
  <si>
    <t>HTLMCBMDN</t>
  </si>
  <si>
    <t>766195455826</t>
  </si>
  <si>
    <t>Tommy Hilfiger All American Cotton Stripe Bat Steel Grey Stripe Bath Towels</t>
  </si>
  <si>
    <t>083144TH001</t>
  </si>
  <si>
    <t>99446803788</t>
  </si>
  <si>
    <t>Nourison Holiday Truck 18 x 30 Accent Black No Size</t>
  </si>
  <si>
    <t>ACCE108JPBLK018030</t>
  </si>
  <si>
    <t>734737534865</t>
  </si>
  <si>
    <t>Sunham Soft Spun Cotton Hand Towel Grey Hand Towels</t>
  </si>
  <si>
    <t>T18437N111626</t>
  </si>
  <si>
    <t>732998123224</t>
  </si>
  <si>
    <t>Hotel Collection Hotel Collection Layered Frame Jade FullQueen</t>
  </si>
  <si>
    <t>100085270FQ</t>
  </si>
  <si>
    <t>100% PIMA COTTON SHELL FILL: 100% POLYESTER</t>
  </si>
  <si>
    <t>750105134376</t>
  </si>
  <si>
    <t>Charter Club European White Down Lightweigh White FullQueen</t>
  </si>
  <si>
    <t>FEDC0810WQ</t>
  </si>
  <si>
    <t>675716509309</t>
  </si>
  <si>
    <t>Madison Park Laurel 7-Pc. Queen Comforter S White Queen</t>
  </si>
  <si>
    <t>MP10-738</t>
  </si>
  <si>
    <t>783048107411</t>
  </si>
  <si>
    <t>Vince Camuto Home Como FullQueen Duvet Cover Se Whitetan FullQueen</t>
  </si>
  <si>
    <t>DCS3223FQ-1800</t>
  </si>
  <si>
    <t>VINCE CAMUTO HOME/PEM-AMERICA INC</t>
  </si>
  <si>
    <t>706258049326</t>
  </si>
  <si>
    <t>Charter Club Damask Stripe Supima Cotton 55 Navy Full</t>
  </si>
  <si>
    <t>DLDSTFLSNVY</t>
  </si>
  <si>
    <t>726895696417</t>
  </si>
  <si>
    <t>Hotel Collection Embroidered 22 Square Decorat White</t>
  </si>
  <si>
    <t>SHELL: LINEN; LINING: COTTON; POLYESTER FILL THREAD COUNT: 102</t>
  </si>
  <si>
    <t>675716665692</t>
  </si>
  <si>
    <t>Madison Park Reversible Ruched Faux-Fur Thr Red 50x60</t>
  </si>
  <si>
    <t>MP50-1852</t>
  </si>
  <si>
    <t>FAUX-FUR FACE: POLYESTER; FAUX-FUR BACK: 220 GRAMS PER SQUARE METER POLYESTER</t>
  </si>
  <si>
    <t>732998330370</t>
  </si>
  <si>
    <t>Hotel Collection Hotel Collection Artisan Queen White Queen</t>
  </si>
  <si>
    <t>100088919QN</t>
  </si>
  <si>
    <t>675716442071</t>
  </si>
  <si>
    <t>Madison Park Microlight King Blanket Purple King</t>
  </si>
  <si>
    <t>BL51-0625</t>
  </si>
  <si>
    <t>883893509276</t>
  </si>
  <si>
    <t>Nautica 50 x 60 Large Plaid Faux-Moh Navy Throw</t>
  </si>
  <si>
    <t>NAUTICA/REVMAN INTERNATIONAL</t>
  </si>
  <si>
    <t>675716996857</t>
  </si>
  <si>
    <t>Madison Park Zuri Reversible Oversized 60 Sand 60x70</t>
  </si>
  <si>
    <t>MP50-4813</t>
  </si>
  <si>
    <t>610406819054</t>
  </si>
  <si>
    <t>Homey Cozy Homey Cozy Pineapple Stripe Ou Yellow 20x20</t>
  </si>
  <si>
    <t>8H2309-20-YELLOW</t>
  </si>
  <si>
    <t>783048141385</t>
  </si>
  <si>
    <t>Pem America Cherry Blossom 3-Pc. Reversibl Red King</t>
  </si>
  <si>
    <t>CS3929KG-1540</t>
  </si>
  <si>
    <t>10482780574</t>
  </si>
  <si>
    <t>Fresh Ideas Ruffled Poplin Queen Bed Skirt White Queen</t>
  </si>
  <si>
    <t>FRE30114WHIT03</t>
  </si>
  <si>
    <t>DROP: POLYESTER / COTTON; PLATFORM: POLYESTER</t>
  </si>
  <si>
    <t>791551838715</t>
  </si>
  <si>
    <t>Berkshire Berkshire Classic Velvety Plus Sage Geo King</t>
  </si>
  <si>
    <t>16534-KG-YH1</t>
  </si>
  <si>
    <t>FAUX FLEECE: POLYESTER</t>
  </si>
  <si>
    <t>29927577846</t>
  </si>
  <si>
    <t>Sun Zero Sun Zero Preston 40 x 63 Gro Silver 40x63</t>
  </si>
  <si>
    <t>608356690953</t>
  </si>
  <si>
    <t>Charter Club Elite Hygro Cotton Bath Towel Indigo Bath Towels</t>
  </si>
  <si>
    <t>706257490365</t>
  </si>
  <si>
    <t>Martha Stewart Collection Spa Bath Towel Meringue Bath Towels</t>
  </si>
  <si>
    <t>MSPLSHBMRG</t>
  </si>
  <si>
    <t>734737472969</t>
  </si>
  <si>
    <t>Lacoste Legend 16 x 30 Supima Cotton White Hand Towels</t>
  </si>
  <si>
    <t>T16825N011630</t>
  </si>
  <si>
    <t>TANK SETS</t>
  </si>
  <si>
    <t>SUPIMA COTTON LOOPS/ COTTON GROUND</t>
  </si>
  <si>
    <t>846339088322</t>
  </si>
  <si>
    <t>J Queen New York Milano Sand Queen Comforter Se Sand Queen</t>
  </si>
  <si>
    <t>2330121QCS</t>
  </si>
  <si>
    <t>800298596885</t>
  </si>
  <si>
    <t>DKNY Refresh Cotton FullQueen Duve Mist FullQueen</t>
  </si>
  <si>
    <t>RFD001070DVG</t>
  </si>
  <si>
    <t>675716961145</t>
  </si>
  <si>
    <t>Madison Park Bellagio 7-Pc. King Comforter Brown King</t>
  </si>
  <si>
    <t>MP10-4534</t>
  </si>
  <si>
    <t>COMFORTER/SHAM: POLYESTER; 270 GRAMS PER SQUARE METER POLYESTER FILL; BEDSKIRT: MICROFIBER FROM POLYESTER; DECORATIVE PILLOWS: POLYESTER; POLYESTER FILL</t>
  </si>
  <si>
    <t>840008367275</t>
  </si>
  <si>
    <t>Dr. Oz Good Life Dr. Oz Good Life Sleep All Day White Full</t>
  </si>
  <si>
    <t>OZGL20FF40FRGT</t>
  </si>
  <si>
    <t>MALOUF/CVB INC</t>
  </si>
  <si>
    <t>706258596479</t>
  </si>
  <si>
    <t>Charter Club Ultra Fine Cotton 800-Thread C Pool Light Blue King</t>
  </si>
  <si>
    <t>T800KGSPOL</t>
  </si>
  <si>
    <t>732998408697</t>
  </si>
  <si>
    <t>Martha Stewart Collection Reversible Poppy Flora Yarn Dy Blue King</t>
  </si>
  <si>
    <t>100082703KG</t>
  </si>
  <si>
    <t>706258050476</t>
  </si>
  <si>
    <t>Charter Club Damask Stripe Supima Cotton 55 White California King</t>
  </si>
  <si>
    <t>DLLSTCKSWHT</t>
  </si>
  <si>
    <t>734737637252</t>
  </si>
  <si>
    <t>Sunham Williamsburg 8-Pc. Reversible Camel King</t>
  </si>
  <si>
    <t>732995562972</t>
  </si>
  <si>
    <t>Charter Club Damask Designs Wovenblock Cott Smoke Queen</t>
  </si>
  <si>
    <t>100023143QN</t>
  </si>
  <si>
    <t>706258091097</t>
  </si>
  <si>
    <t>Charter Club Damask Stripe Supima Cotton 55 Lemonade Yellow Queen</t>
  </si>
  <si>
    <t>DLLSTQNSLEM</t>
  </si>
  <si>
    <t>193842115275</t>
  </si>
  <si>
    <t>J Queen New York Dorset Window Scallop Valance, Multi</t>
  </si>
  <si>
    <t>2632054SCALV</t>
  </si>
  <si>
    <t>96675323117</t>
  </si>
  <si>
    <t>SensorGel Arctic Nights 10x Cooler Suppo White Standard</t>
  </si>
  <si>
    <t>26705447865</t>
  </si>
  <si>
    <t>Vellux Cotton Textured Chevron Woven Tan King</t>
  </si>
  <si>
    <t>A1DUC669849</t>
  </si>
  <si>
    <t>800298597127</t>
  </si>
  <si>
    <t>DKNY Refresh Cotton Tufted-Chenille Mist Standard Sham</t>
  </si>
  <si>
    <t>RFD001070SAA</t>
  </si>
  <si>
    <t>734737592636</t>
  </si>
  <si>
    <t>Fairfield Square Collection Chelsea 8-Pc. Queen Comforter Multi California King</t>
  </si>
  <si>
    <t>29927533071</t>
  </si>
  <si>
    <t>Sun Zero Sun Zero Grant 100 x 84 Grom Sage 100x84</t>
  </si>
  <si>
    <t>636202326411</t>
  </si>
  <si>
    <t>Hotel Collection Hotel Collection Finest Elegan Slate Blue Bath Towels</t>
  </si>
  <si>
    <t>HTLELITEBSB</t>
  </si>
  <si>
    <t>675716660093</t>
  </si>
  <si>
    <t>Sleep Philosophy Bed Guardian 3M Scotchgard Twi White Twin</t>
  </si>
  <si>
    <t>BASI16-0315</t>
  </si>
  <si>
    <t>800298566062</t>
  </si>
  <si>
    <t>Units</t>
  </si>
  <si>
    <t>Value</t>
  </si>
  <si>
    <t>UPC</t>
  </si>
  <si>
    <t>ITEM DESCRIPTION</t>
  </si>
  <si>
    <t>ORIGINAL QTY</t>
  </si>
  <si>
    <t>TOTAL ORIGINAL RETAIL</t>
  </si>
  <si>
    <t>VENDOR / STYLE #</t>
  </si>
  <si>
    <t>COLOR</t>
  </si>
  <si>
    <t>SIZE</t>
  </si>
  <si>
    <t>DEPARTMENT NAME</t>
  </si>
  <si>
    <t>VENDOR NAME</t>
  </si>
  <si>
    <t>COUNTRY OF ORIGIN</t>
  </si>
  <si>
    <t>FABRIC CONTENT</t>
  </si>
  <si>
    <t>IMAGE</t>
  </si>
  <si>
    <t>735837574171</t>
  </si>
  <si>
    <t>Hotel Collection European White Goose Down Medi White FullQueen</t>
  </si>
  <si>
    <t>HWGDQM05</t>
  </si>
  <si>
    <t>WHITE</t>
  </si>
  <si>
    <t>PB COMFORTERS</t>
  </si>
  <si>
    <t>HOTEL BY C CLUB-EDI/PHOENIX DOWN</t>
  </si>
  <si>
    <t>IMPORTED</t>
  </si>
  <si>
    <t>SHELL: 100% COTTON; FILL: DOWN; 700 FILL POWER</t>
  </si>
  <si>
    <t>732998330394</t>
  </si>
  <si>
    <t>Hotel Collection Hotel Collection Artisan Comfo White King</t>
  </si>
  <si>
    <t>100090054KG</t>
  </si>
  <si>
    <t>KGCOMFORTE</t>
  </si>
  <si>
    <t>HOTEL LUX BDG</t>
  </si>
  <si>
    <t>HOTEL BY CC-EDI/RWI/SARITA HANDA</t>
  </si>
  <si>
    <t>FRONT: POLYESTER/COTTON BLEND, BACK: 100% COTTON, FILL: 100% POLYESTER</t>
  </si>
  <si>
    <t>732998718680</t>
  </si>
  <si>
    <t>Hotel Collection Hotel Collection 1000 Thread C White FullQueen</t>
  </si>
  <si>
    <t>100073401FQ</t>
  </si>
  <si>
    <t>HOTEL COLLECTION-MMG/HIMATSINGKA</t>
  </si>
  <si>
    <t>706257998113</t>
  </si>
  <si>
    <t>Hotel Collection Fresco FullQueen Comforter Gold FullQueen</t>
  </si>
  <si>
    <t>FO01QC790</t>
  </si>
  <si>
    <t>GOLD</t>
  </si>
  <si>
    <t>SHELL- FRONT: VISCOSE/POLYESTER/COTTON BACK: COTTON; FILL: POLYESTER</t>
  </si>
  <si>
    <t>709271479743</t>
  </si>
  <si>
    <t>Calvin Klein Baltic King Duvet Set Tide King</t>
  </si>
  <si>
    <t>1510198-KG-S1-D2</t>
  </si>
  <si>
    <t>DARK BLUE</t>
  </si>
  <si>
    <t>NEO COLLECTNS</t>
  </si>
  <si>
    <t>CALVIN KLEIN HOME/HIMATSINGKA AMER</t>
  </si>
  <si>
    <t>100% COTTON 300 TC SATEEN</t>
  </si>
  <si>
    <t>750105134383</t>
  </si>
  <si>
    <t>Charter Club White Down Lightweight King Co White King</t>
  </si>
  <si>
    <t>FEDC0810WK</t>
  </si>
  <si>
    <t>CHARTER CLUB-EDI/DOWNLITE INT'L</t>
  </si>
  <si>
    <t>MADE IN USA OF IMPORTED MATERIALS</t>
  </si>
  <si>
    <t>SHELL: 100% COTTON; FILL: DOWN; 600 FILL POWER</t>
  </si>
  <si>
    <t>706258596455</t>
  </si>
  <si>
    <t>Charter Club Ultra Fine Cotton 800-Thread C Ivory King</t>
  </si>
  <si>
    <t>T800KGSIVR</t>
  </si>
  <si>
    <t>LT BEIGE</t>
  </si>
  <si>
    <t>CC MOD BEDDNG</t>
  </si>
  <si>
    <t>CHARTER CLUB-EDI/RWI/NAISHAT</t>
  </si>
  <si>
    <t>800298683332</t>
  </si>
  <si>
    <t>Donna Karan Silk Indulgence King Pillowcas White King</t>
  </si>
  <si>
    <t>2OC001009ARE</t>
  </si>
  <si>
    <t>DONNA KARAN HOME/CHF INDUSTRIES</t>
  </si>
  <si>
    <t>90% COTTON/ 10% SILK</t>
  </si>
  <si>
    <t>751379648200</t>
  </si>
  <si>
    <t>Pillow Perfect Sunbrella 16 x 16 Outdoor De Green 16x16</t>
  </si>
  <si>
    <t>GREEN</t>
  </si>
  <si>
    <t>DEC PILL/THRW</t>
  </si>
  <si>
    <t>PILLOW PERFECT</t>
  </si>
  <si>
    <t>MADE IN USA</t>
  </si>
  <si>
    <t>100% ACRYLIC</t>
  </si>
  <si>
    <t>732997680957</t>
  </si>
  <si>
    <t>Hotel Collection Hotel Collection 1000 Thread C White King</t>
  </si>
  <si>
    <t>100013566KG</t>
  </si>
  <si>
    <t>KGBOTTOMFT</t>
  </si>
  <si>
    <t>HOTEL BY C CLUB-EDI/RWI/VTX</t>
  </si>
  <si>
    <t>100% SUPIMA COTTON</t>
  </si>
  <si>
    <t>86569390462</t>
  </si>
  <si>
    <t>Premier Comfort Premier Comfort Microlight Ele Gray Twin</t>
  </si>
  <si>
    <t>MCC54-2153</t>
  </si>
  <si>
    <t>GRAY</t>
  </si>
  <si>
    <t>PB BLANKETS</t>
  </si>
  <si>
    <t>JLA HOME/E &amp; E CO LTD</t>
  </si>
  <si>
    <t>706258089148</t>
  </si>
  <si>
    <t>Charter Club Damask Stripe Supima Cotton 55 Mulberry Dark Purple Queen</t>
  </si>
  <si>
    <t>DLDSTQDSMLB</t>
  </si>
  <si>
    <t>DARK RED</t>
  </si>
  <si>
    <t>CHARTER CLUB-EDI/RWI/VTX</t>
  </si>
  <si>
    <t>COTTON</t>
  </si>
  <si>
    <t>733002490059</t>
  </si>
  <si>
    <t>Martha Stewart Collection 400-Thread Count Egyptian Cott Yellow Floral Full</t>
  </si>
  <si>
    <t>100121003FL</t>
  </si>
  <si>
    <t>YELLOW</t>
  </si>
  <si>
    <t>MS COL SHEETS</t>
  </si>
  <si>
    <t>MARTHA STEWART-EDI/RWI/NAISHAT</t>
  </si>
  <si>
    <t>846225036345</t>
  </si>
  <si>
    <t>Manor Luxe Manor Luxe Charlotte Jute Trim Coral</t>
  </si>
  <si>
    <t>ML194542424COFE</t>
  </si>
  <si>
    <t>ORANGE</t>
  </si>
  <si>
    <t>24X24</t>
  </si>
  <si>
    <t>INTREPID INTL TRADING CO LLC</t>
  </si>
  <si>
    <t>POLYESTER, JUTE, FEATHERS AND DOWN</t>
  </si>
  <si>
    <t>732999834075</t>
  </si>
  <si>
    <t>Martha Stewart Collection Mind Your Manor Floral Patchwo Blue TwinTwin XL</t>
  </si>
  <si>
    <t>100100815TW</t>
  </si>
  <si>
    <t>LT/PASBLUE</t>
  </si>
  <si>
    <t>PB SEASON BED</t>
  </si>
  <si>
    <t>MARTHA STEWART-MMG/COLLECTION 43417</t>
  </si>
  <si>
    <t>732998018667</t>
  </si>
  <si>
    <t>Charter Club Damask Designs White Chunky 50 Grey</t>
  </si>
  <si>
    <t>LT/PAS GRY</t>
  </si>
  <si>
    <t>CHRT CLB DSGN</t>
  </si>
  <si>
    <t>CHARTER CLUB/SHANGHAI SUNWIN IN</t>
  </si>
  <si>
    <t>734737675889</t>
  </si>
  <si>
    <t>Sunham OXYWASH SOLID SHEET SET QUEEN Ivory Queen</t>
  </si>
  <si>
    <t>NATURAL</t>
  </si>
  <si>
    <t>SHEETS &amp;CASES</t>
  </si>
  <si>
    <t>SUNHAM CO USA</t>
  </si>
  <si>
    <t>655385240598</t>
  </si>
  <si>
    <t>Elite Home King Reversible Down Alternati NavyLight Blue King</t>
  </si>
  <si>
    <t>MICCSKG410RVDAC</t>
  </si>
  <si>
    <t>NAVY</t>
  </si>
  <si>
    <t>NO SIZE</t>
  </si>
  <si>
    <t>DOWN COMFORTR</t>
  </si>
  <si>
    <t>ELITE HOME PRODUCTS INC</t>
  </si>
  <si>
    <t>POLYESTER</t>
  </si>
  <si>
    <t>706258050384</t>
  </si>
  <si>
    <t>Charter Club Damask Supima Cotton 550-Threa Parchment Beige Twin</t>
  </si>
  <si>
    <t>DLLSLTWSPAR</t>
  </si>
  <si>
    <t>SUPIMA COTTON</t>
  </si>
  <si>
    <t>732997629338</t>
  </si>
  <si>
    <t>Charter Club Damask Designs Honeycomb 50 x Blue Throw</t>
  </si>
  <si>
    <t>709271502847</t>
  </si>
  <si>
    <t>Calvin Klein Calvin Klein Scribble Modern C Gray Standard Sham</t>
  </si>
  <si>
    <t>114SCRI-ST-G1-D2</t>
  </si>
  <si>
    <t>733001947615</t>
  </si>
  <si>
    <t>Hotel Collection Cotton Diffused Marble 30 x 5 Sandstone Bath Towels</t>
  </si>
  <si>
    <t>BEIGEKHAKI</t>
  </si>
  <si>
    <t>BATH TOWEL</t>
  </si>
  <si>
    <t>PB TOWELS</t>
  </si>
  <si>
    <t>MMG-HOTEL BY CC</t>
  </si>
  <si>
    <t>29927241860</t>
  </si>
  <si>
    <t>No. 918 No. 918 Sheer Voile Rod Pocket Taupe</t>
  </si>
  <si>
    <t>DARK BEIGE</t>
  </si>
  <si>
    <t>S LICHTENBERG &amp; CO.</t>
  </si>
  <si>
    <t>783048998774</t>
  </si>
  <si>
    <t>Truly Soft Truly Soft Everyday King Sheet Light Blue King</t>
  </si>
  <si>
    <t>SS1658LBKG-4700</t>
  </si>
  <si>
    <t>TURQ/AQUA</t>
  </si>
  <si>
    <t>PEM AMERICA INC</t>
  </si>
  <si>
    <t>610406819313</t>
  </si>
  <si>
    <t>Homey Cozy Homey Cozy Isabella Jacquard T Ecru 20x20</t>
  </si>
  <si>
    <t>85161-ECRU</t>
  </si>
  <si>
    <t>20X20</t>
  </si>
  <si>
    <t>HOME ACCENT PILLOW INC</t>
  </si>
  <si>
    <t>POLYESTER VELVET JACQUARD</t>
  </si>
  <si>
    <t>732996958453</t>
  </si>
  <si>
    <t>Charter Club Cozy Plush Throw Garnet Plaid 50x70</t>
  </si>
  <si>
    <t>RED</t>
  </si>
  <si>
    <t>DEC PIL/THRWS</t>
  </si>
  <si>
    <t>CHARTER CLUB-EDI/JLA HOME</t>
  </si>
  <si>
    <t>MADE IN CHINA</t>
  </si>
  <si>
    <t>845951072368</t>
  </si>
  <si>
    <t>Olivia Gray Olivia Gray Lush Diamond Jacqu Blush 17 x 24</t>
  </si>
  <si>
    <t>RGL05479</t>
  </si>
  <si>
    <t>PINK</t>
  </si>
  <si>
    <t>BATH RUGS/ACC</t>
  </si>
  <si>
    <t>RT DESIGNERSCOLLECT/RAMALLAH TRADIN</t>
  </si>
  <si>
    <t>734737536067</t>
  </si>
  <si>
    <t>Sunham Comfort Soft 21 x 34 Memory Linen 21 x 34</t>
  </si>
  <si>
    <t>R4431AN172134</t>
  </si>
  <si>
    <t>POLYURETHANE FOAM; POLYVINYL CHLORIDE BACKING</t>
  </si>
  <si>
    <t>732996957845</t>
  </si>
  <si>
    <t>Charter Club Cozy Plush Throw Garnet 50x70</t>
  </si>
  <si>
    <t>MEDIUM RED</t>
  </si>
  <si>
    <t>608356690649</t>
  </si>
  <si>
    <t>Charter Club Elite Hygro Cotton Bath Towel White Bath Towels</t>
  </si>
  <si>
    <t>CCELITEB</t>
  </si>
  <si>
    <t>MMG-CHARTER CLUB</t>
  </si>
  <si>
    <t>ALL COTTON</t>
  </si>
  <si>
    <t>706255871616</t>
  </si>
  <si>
    <t>Martha Stewart Collection Quick Dry Reversible Bath Towe White Bath Towels</t>
  </si>
  <si>
    <t>MSQDRBWT</t>
  </si>
  <si>
    <t>MARTHA STEWART-EDI/RWI/WELSPUN</t>
  </si>
  <si>
    <t>100% COTTON</t>
  </si>
  <si>
    <t>848405049985</t>
  </si>
  <si>
    <t>Mainstream International Inc. Cotton Solid 27 x 52 Bath To Blue Bath Towels</t>
  </si>
  <si>
    <t>MACPRO214140</t>
  </si>
  <si>
    <t>MED BLUE</t>
  </si>
  <si>
    <t>TOWELS</t>
  </si>
  <si>
    <t>MAINSTREAM INTERNATIONAL INC</t>
  </si>
  <si>
    <t>732998768166</t>
  </si>
  <si>
    <t>Home Design Cotton 27.6 x 54 Bath Towel Coral Bath Towels</t>
  </si>
  <si>
    <t>MED PINK</t>
  </si>
  <si>
    <t>HOME DESIGN STUDIO-EDI/WELSPUN</t>
  </si>
  <si>
    <t>848405050035</t>
  </si>
  <si>
    <t>Mainstream International Inc. Cotton Solid 27 x 52 Bath To Green Bath Towels</t>
  </si>
  <si>
    <t>MACPRO214145</t>
  </si>
  <si>
    <t>LT/PAS GRN</t>
  </si>
  <si>
    <t>848405050004</t>
  </si>
  <si>
    <t>Mainstream International Inc. Cotton Solid 27 x 52 Bath To White Bath Towels</t>
  </si>
  <si>
    <t>MACPRO214152</t>
  </si>
  <si>
    <t>608356694234</t>
  </si>
  <si>
    <t>Charter Club Elite Hygro Cotton Hand Towel White Hand Towels</t>
  </si>
  <si>
    <t>CCELITEH</t>
  </si>
  <si>
    <t>HAND TOWEL</t>
  </si>
  <si>
    <t>608356699468</t>
  </si>
  <si>
    <t>Charter Club Elite Hygro Cotton Washcloth White Washcloths</t>
  </si>
  <si>
    <t>CCELITEW</t>
  </si>
  <si>
    <t>WASH CLOTH</t>
  </si>
  <si>
    <t>400013532725</t>
  </si>
  <si>
    <t>CRC GENERIC</t>
  </si>
  <si>
    <t>NO COLOR</t>
  </si>
  <si>
    <t>UPC DEFAULT</t>
  </si>
  <si>
    <t>NON-MRCHNDSE USE ONLY</t>
  </si>
  <si>
    <t>ORIGINAL COST</t>
  </si>
  <si>
    <t>TOTAL ORIGINAL COST</t>
  </si>
  <si>
    <t>ORIGINAL RETAIL</t>
  </si>
  <si>
    <t>CLIENT COST</t>
  </si>
  <si>
    <t>TOTAL CLIENT COST</t>
  </si>
  <si>
    <t>DIVISION</t>
  </si>
  <si>
    <t>86569271655</t>
  </si>
  <si>
    <t>Madison Park Mavis 8 Piece King Cotton Prin Dark Blue King</t>
  </si>
  <si>
    <t>MP10-6585</t>
  </si>
  <si>
    <t>MCY</t>
  </si>
  <si>
    <t>MOD BEDDING</t>
  </si>
  <si>
    <t>COMFORTER/SHAM: COTTON FACE, COTTON/POLYESTER BACK; BEDSKIRT/EURO SHAMS/DECORATIVE PILLOW COVER: COTTON/POLYESTER; COMFORTER AND DECORATIVE PILLOW WITH POLYESTER FILLING</t>
  </si>
  <si>
    <t>675716488680</t>
  </si>
  <si>
    <t>Madison Park Madison Park Princeton 5-Pc Ki Red King</t>
  </si>
  <si>
    <t>MP13-616</t>
  </si>
  <si>
    <t>100% POLYESTER; COVERLET FILL: 100% COTTON; DECORATIVE PILLOW FILL: 100% POLYESTER</t>
  </si>
  <si>
    <t>675716583965</t>
  </si>
  <si>
    <t>Madison Park Essentials Avalon 9-Pc. Queen Grey Queen</t>
  </si>
  <si>
    <t>MPE10-042</t>
  </si>
  <si>
    <t>COMFORTER/SHAM/BEDSKIRT: POLYESTER 85 GRAMS PER SQUARE METER; PILLOW: POLYESTER; SHEETS: COTTON; THREAD COUNT: 180; COMFORTER FILL: POLYESTER 250 GRAMS PER SQUARE METER; PILLOW FILL: POLYESTER</t>
  </si>
  <si>
    <t>25521677777</t>
  </si>
  <si>
    <t>Calvin Klein Almost Down King Down-Alternat White King</t>
  </si>
  <si>
    <t>67777FN</t>
  </si>
  <si>
    <t>CALVIN KLEIN/HOLLANDER SLEEP</t>
  </si>
  <si>
    <t>COTTON; FILL: DOWN ALTERNATIVE MICROFIBER</t>
  </si>
  <si>
    <t>675716479480</t>
  </si>
  <si>
    <t>Madison Park Tissa 6-Pc. FullQueen Coverle Orange FullQueen</t>
  </si>
  <si>
    <t>MP13-484</t>
  </si>
  <si>
    <t>COVERLET/SHAM/PILLOW: POLYESTER; COVERLET FILL: COTTON/POLYESTER/OTHER; PILLOW FILL: POLYESTER</t>
  </si>
  <si>
    <t>837362004090</t>
  </si>
  <si>
    <t>Grund Asheville Series 24 x 60 Org Driftwood 24 x 60</t>
  </si>
  <si>
    <t>B2662</t>
  </si>
  <si>
    <t>GRUND AMERICA LLC</t>
  </si>
  <si>
    <t>COTTON; BACKING: RUBBER</t>
  </si>
  <si>
    <t>635983499604</t>
  </si>
  <si>
    <t>Ella Jayne Overstuffed Plush MediumFirm White Queen</t>
  </si>
  <si>
    <t>BMI10191L2Q</t>
  </si>
  <si>
    <t>QUEEN</t>
  </si>
  <si>
    <t>PILLWS&amp;PADS</t>
  </si>
  <si>
    <t>ELLA JAYNE/PILLOW GUY INC</t>
  </si>
  <si>
    <t>SHELL: 220 THREAD COUNT POLYESTER MICROFIBER, FILL: 100% DOWN ALTERNATIVE FINE GEL FIBERS</t>
  </si>
  <si>
    <t>675716479442</t>
  </si>
  <si>
    <t>Madison Park Madison Park Quebec 2-Piece Tw Ivory TwinTwin XL</t>
  </si>
  <si>
    <t>MP13-480</t>
  </si>
  <si>
    <t>FACE: POLYESTER; FILL:COTTON</t>
  </si>
  <si>
    <t>837362002775</t>
  </si>
  <si>
    <t>Grund Asheville Series 24 x 40 Org Ivory 24 x 40</t>
  </si>
  <si>
    <t>ORGANIC COTTON; BACKING: RUBBER</t>
  </si>
  <si>
    <t>783048120823</t>
  </si>
  <si>
    <t>London Fog London Fog Sasha Paisley 3 Pie White King</t>
  </si>
  <si>
    <t>DCS3484KG-1800</t>
  </si>
  <si>
    <t>750227512458</t>
  </si>
  <si>
    <t>Redi Shade 30 x 64 Blackout Cellular Natural 30X64</t>
  </si>
  <si>
    <t>26 SGL</t>
  </si>
  <si>
    <t>REDI SHADE INC</t>
  </si>
  <si>
    <t>726895696400</t>
  </si>
  <si>
    <t>Hotel Collection Linen 14 X 24 Decorative Pil Grey</t>
  </si>
  <si>
    <t>MED GRAY</t>
  </si>
  <si>
    <t>HOTEL BY C CLUB-EDI/RWI/FA</t>
  </si>
  <si>
    <t>675716569006</t>
  </si>
  <si>
    <t>Madison Park Sarasota 3-Pc. FullQueen Comf Seafoam FullQueen</t>
  </si>
  <si>
    <t>MP10-1256</t>
  </si>
  <si>
    <t>FABRIC: POLYESTER; POLYESTER FILL</t>
  </si>
  <si>
    <t>783048021335</t>
  </si>
  <si>
    <t>Truly Soft Truly Soft Pleated White Full Ivory FullQueen</t>
  </si>
  <si>
    <t>DCS1969IVFQ-18</t>
  </si>
  <si>
    <t>DUVET AND SHAM FACE AND BACK CLOTH IS 100% BRUSHED MICROFIBER POLYESTER WITH POLYESTER FILLING.</t>
  </si>
  <si>
    <t>86569004956</t>
  </si>
  <si>
    <t>510 Design 510 Design Otto FullQueen 3 P Grey FullQueen</t>
  </si>
  <si>
    <t>5DS13-0024</t>
  </si>
  <si>
    <t>COVERLET/SHAM FABRIC - 75GSM POLYESTER MICROFIBER, COVERLET FILL - 100% POLYESTER</t>
  </si>
  <si>
    <t>54006623121</t>
  </si>
  <si>
    <t>Achim Halley 56x84 TP Ivory 56x84</t>
  </si>
  <si>
    <t>HLPN84IV06</t>
  </si>
  <si>
    <t>ACHIM IMPORTING CO INC</t>
  </si>
  <si>
    <t>100% POLYESTER</t>
  </si>
  <si>
    <t>27399025278</t>
  </si>
  <si>
    <t>Vellux Vellux King Blanket Navy King</t>
  </si>
  <si>
    <t>AWKWB169849</t>
  </si>
  <si>
    <t>VELLUX/WESTPOINT HOME</t>
  </si>
  <si>
    <t>NYLON</t>
  </si>
  <si>
    <t>726895498684</t>
  </si>
  <si>
    <t>Hotel Collection Plume King Sham White King Sham</t>
  </si>
  <si>
    <t>1001530KG</t>
  </si>
  <si>
    <t>POLYESTER/COTTON</t>
  </si>
  <si>
    <t>27399035505</t>
  </si>
  <si>
    <t>Vellux Vellux FullQueen Blanket Blush FullQueen</t>
  </si>
  <si>
    <t>A1WX035505</t>
  </si>
  <si>
    <t>54006248973</t>
  </si>
  <si>
    <t>Achim Cordless GII Deluxe Sundown 1 Mahogany 29X64</t>
  </si>
  <si>
    <t>DSG227MH06</t>
  </si>
  <si>
    <t>BROWN</t>
  </si>
  <si>
    <t>DEC DOOR</t>
  </si>
  <si>
    <t>VINYL</t>
  </si>
  <si>
    <t>732998714545</t>
  </si>
  <si>
    <t>Hotel Collection LAST ACT Hotel Collection Cla Silver Standard Sham</t>
  </si>
  <si>
    <t>100078568QS</t>
  </si>
  <si>
    <t>HOTEL BY CHARTER CLUB-MMG</t>
  </si>
  <si>
    <t>783048998446</t>
  </si>
  <si>
    <t>Truly Soft Truly Soft Everyday White Full Light Blue FullQueen</t>
  </si>
  <si>
    <t>DCS1657LBQ-1800</t>
  </si>
  <si>
    <t>100% MICROFIBER POLYESTER.</t>
  </si>
  <si>
    <t>675716953355</t>
  </si>
  <si>
    <t>Madison Park Emilia 50 x 26 Lined Faux-Si White 50x26</t>
  </si>
  <si>
    <t>MP41-4453</t>
  </si>
  <si>
    <t>846339094507</t>
  </si>
  <si>
    <t>Oscar Oliver Flatiron Teal King Sham Black King Sham</t>
  </si>
  <si>
    <t>2395045KGSHM</t>
  </si>
  <si>
    <t>BLACK</t>
  </si>
  <si>
    <t>KGRUFFLED</t>
  </si>
  <si>
    <t>TRAD TXTL COL</t>
  </si>
  <si>
    <t>OSCAR OLIVER/J QUEEN NEW YORK INC</t>
  </si>
  <si>
    <t>COTTON; LINING: POLYESTER</t>
  </si>
  <si>
    <t>732996618715</t>
  </si>
  <si>
    <t>Martha Stewart Collection Wedding Rings Blue Standard Sh Medium Blue Standard Sham</t>
  </si>
  <si>
    <t>100070851ST</t>
  </si>
  <si>
    <t>783048017055</t>
  </si>
  <si>
    <t>Charisma Luxe 30 x 58 Cotton Bath Tow Bright White</t>
  </si>
  <si>
    <t>BTB1926BW-6100</t>
  </si>
  <si>
    <t>21864380886</t>
  </si>
  <si>
    <t>Avanti Avanti York II Bath Towel Mocha ONE SIZE</t>
  </si>
  <si>
    <t>058131MOC</t>
  </si>
  <si>
    <t>BUCK</t>
  </si>
  <si>
    <t>AVANTI LINENS/AVANTI LINENS INC</t>
  </si>
  <si>
    <t>100% COTTON VELOUR EXCLUSIVE OF EMBELLISHMENT</t>
  </si>
  <si>
    <t>29927435207</t>
  </si>
  <si>
    <t>Sun Zero Lichtenberg Sun Zero Ena Flora Stone 54x84</t>
  </si>
  <si>
    <t>ENA</t>
  </si>
  <si>
    <t>675716639891</t>
  </si>
  <si>
    <t>Madison Park Oversized 60 x 70 Ogee-Print Tan 60x70</t>
  </si>
  <si>
    <t>MP50-1730</t>
  </si>
  <si>
    <t>BEIGE</t>
  </si>
  <si>
    <t>FABRIC: POLYESTER 220 GRAMS PER SQUARE METER</t>
  </si>
  <si>
    <t>732997957455</t>
  </si>
  <si>
    <t>Charter Club Damask Designs Mr Cotton 20 Mr Standard Sham</t>
  </si>
  <si>
    <t>100067974SD</t>
  </si>
  <si>
    <t>CHARTER CLUB-EDI/RWI/LAMEIRINHO</t>
  </si>
  <si>
    <t>86569389084</t>
  </si>
  <si>
    <t>JLA Home Decor Studio Snowman with Snow Navy ONE SIZE</t>
  </si>
  <si>
    <t>MCH71-2115</t>
  </si>
  <si>
    <t>732994103282</t>
  </si>
  <si>
    <t>Charter Club Elite Fashion Medallion Cotton Desert Washcloths</t>
  </si>
  <si>
    <t>766195440648</t>
  </si>
  <si>
    <t>Tommy Hilfiger All American II Cotton Washclo Steel Grey Washcloths</t>
  </si>
  <si>
    <t>079387TH015</t>
  </si>
  <si>
    <t>TOMMY HILFIGER/HIMATSINGKA AMERICA</t>
  </si>
  <si>
    <t>732998775232</t>
  </si>
  <si>
    <t>Hotel Collection Hotel Collection Avalon Comfor Ivory King</t>
  </si>
  <si>
    <t>100090379KG</t>
  </si>
  <si>
    <t>732999609826</t>
  </si>
  <si>
    <t>Hotel Collection Hotel Collection Tessellate Ki Lightpastel Gr King</t>
  </si>
  <si>
    <t>100106509KG</t>
  </si>
  <si>
    <t>86569420374</t>
  </si>
  <si>
    <t>Addison Park Adela 9-Pc. Queen Comforter Se Multi Queen</t>
  </si>
  <si>
    <t>MCH10-2175</t>
  </si>
  <si>
    <t>732999832941</t>
  </si>
  <si>
    <t>Martha Stewart Collection Farmstead Floral Patchwork Kin Red KingCalifornia King</t>
  </si>
  <si>
    <t>100103967KG</t>
  </si>
  <si>
    <t>732999611935</t>
  </si>
  <si>
    <t>Charter Club Damask Designs Texture Dot Que Sunglow Yellow Queen</t>
  </si>
  <si>
    <t>100088998QN</t>
  </si>
  <si>
    <t>706258049951</t>
  </si>
  <si>
    <t>Charter Club Damask Supima Cotton 550-Threa Horizon Sky Blue Queen</t>
  </si>
  <si>
    <t>DLLSLQNSHZN</t>
  </si>
  <si>
    <t>735732163166</t>
  </si>
  <si>
    <t>VCNY Home VCNY Home Amherst Reversible D Aqua FullQueen</t>
  </si>
  <si>
    <t>AMH-5CS-FUQU-KO-AQUA</t>
  </si>
  <si>
    <t>MED GREEN</t>
  </si>
  <si>
    <t>TEXTILES-EUROPE INC</t>
  </si>
  <si>
    <t>FABRIC: POLYESTER</t>
  </si>
  <si>
    <t>732998216148</t>
  </si>
  <si>
    <t>Charter Club Damask Stripe Supima Cotton 55 Neo Natural Full</t>
  </si>
  <si>
    <t>DLLSTFLSNAT</t>
  </si>
  <si>
    <t>191790024434</t>
  </si>
  <si>
    <t>Fairfield Square Collection Brookline 1400-Thread Count 6- Sky Blue Queen</t>
  </si>
  <si>
    <t>23302103175AQT</t>
  </si>
  <si>
    <t>AQ TEXTILES</t>
  </si>
  <si>
    <t>COTTON/POLYESTER</t>
  </si>
  <si>
    <t>689192610435</t>
  </si>
  <si>
    <t>Ella Jayne All-Season Soft Brushed Microf White FullQueen</t>
  </si>
  <si>
    <t>EJHCF90WH2</t>
  </si>
  <si>
    <t>SHELL: SUPER SOFT TRIPLE BRUSHED MICROFIBER</t>
  </si>
  <si>
    <t>840037205890</t>
  </si>
  <si>
    <t>Indecor Home Indecor Home 17-Pc. Rochelle B Blue No Size</t>
  </si>
  <si>
    <t>17PCS4227BL-060</t>
  </si>
  <si>
    <t>INDECOR HOME LLC</t>
  </si>
  <si>
    <t>788904130633</t>
  </si>
  <si>
    <t>Royal Luxe Royal Luxe Microfiber Color Do Khaki FullQueen</t>
  </si>
  <si>
    <t>BLUE RIDGE HOME FASHIONS</t>
  </si>
  <si>
    <t>COVER: POLYESTER; FILL: HYP-ALLERGENIC POLYESTER FIBERFILL</t>
  </si>
  <si>
    <t>788904130411</t>
  </si>
  <si>
    <t>Royal Luxe Royal Luxe Microfiber Color Do Navy Twin</t>
  </si>
  <si>
    <t>RTCOMFORTE</t>
  </si>
  <si>
    <t>706258615576</t>
  </si>
  <si>
    <t>Martha Stewart Collection Essentials Classic Quilted Que White Queen</t>
  </si>
  <si>
    <t>100058088QN</t>
  </si>
  <si>
    <t>QNMATTRESS</t>
  </si>
  <si>
    <t>PILLOWS &amp; PAD</t>
  </si>
  <si>
    <t>ESSENTIALS BY MARTHA/JLA HOME</t>
  </si>
  <si>
    <t>91116729862</t>
  </si>
  <si>
    <t>Sanders Printed Microfiber Queen Sheet Quincey Blue Queen</t>
  </si>
  <si>
    <t>PM3SSQ</t>
  </si>
  <si>
    <t>BLUE</t>
  </si>
  <si>
    <t>COZY HOME FASHION/SANDER SALES ENT</t>
  </si>
  <si>
    <t>706254463027</t>
  </si>
  <si>
    <t>Hotel Collection Ultimate MicroCotton 30 x 5 Oat Bath Towels</t>
  </si>
  <si>
    <t>HTLMCBOAT</t>
  </si>
  <si>
    <t>706257491461</t>
  </si>
  <si>
    <t>Martha Stewart Collection Stripe Bath Towel Pink Ice</t>
  </si>
  <si>
    <t>MSSTRIBPKI</t>
  </si>
  <si>
    <t>LT/PAS RED</t>
  </si>
  <si>
    <t>706257490464</t>
  </si>
  <si>
    <t>Martha Stewart Collection Spa Bath Towel Pressed Rose Bath Towels</t>
  </si>
  <si>
    <t>MSPLSHBPRS</t>
  </si>
  <si>
    <t>LT/PASPINK</t>
  </si>
  <si>
    <t>760028583434</t>
  </si>
  <si>
    <t>DreamEase Sherpa Comfort Pillow, Standar Natural</t>
  </si>
  <si>
    <t>10DREAMNAT-10J</t>
  </si>
  <si>
    <t>VALA20X146</t>
  </si>
  <si>
    <t>PEGASUS HOME FASHIONS</t>
  </si>
  <si>
    <t>636193713863</t>
  </si>
  <si>
    <t>Martha Stewart Collection Cotton Dot Spa Fashion Bath To Sandstone Bath Towels</t>
  </si>
  <si>
    <t>MSNDTB</t>
  </si>
  <si>
    <t>MED BEIGE</t>
  </si>
  <si>
    <t>706257490426</t>
  </si>
  <si>
    <t>Martha Stewart Collection Spa Bath Towel Frozen Pond Bath Towels</t>
  </si>
  <si>
    <t>MSPLSHBFRP</t>
  </si>
  <si>
    <t>193842117194</t>
  </si>
  <si>
    <t>J Queen New York Malita King 4 Piece Comforter Powder Blue King</t>
  </si>
  <si>
    <t>2654123KCS</t>
  </si>
  <si>
    <t>J QUEEN NEW YORK INC</t>
  </si>
  <si>
    <t>735837574140</t>
  </si>
  <si>
    <t>Hotel Collection European White Goose Down Ligh White FullQueen</t>
  </si>
  <si>
    <t>HWGDLQ02</t>
  </si>
  <si>
    <t>636206071829</t>
  </si>
  <si>
    <t>Hotel Collection Dimensional King Comforter Blue King</t>
  </si>
  <si>
    <t>100044714KG</t>
  </si>
  <si>
    <t>38992929535</t>
  </si>
  <si>
    <t>Waterford SHELAH WATERFALL VALANCE SET O Gold 42x33</t>
  </si>
  <si>
    <t>CNSHLAW710W3</t>
  </si>
  <si>
    <t>WATERFORD/W-C HOME FASHIONS LLC</t>
  </si>
  <si>
    <t>FRONT: 100% POLYESTER, EXCLUSIVE OF DECORATION. LINING: 100% POLYESTER</t>
  </si>
  <si>
    <t>750105141435</t>
  </si>
  <si>
    <t>Hotel Collection Primaloft Silver Series Hi Lof White King</t>
  </si>
  <si>
    <t>10011754K</t>
  </si>
  <si>
    <t>HOTEL BY CHARTER CLUB-EDI/DOWNLITE</t>
  </si>
  <si>
    <t>COVER: COTTON 450 TC; POLYESTER FILL</t>
  </si>
  <si>
    <t>732994723701</t>
  </si>
  <si>
    <t>Charter Club Damask Designs Seersucker 150- White Grey King</t>
  </si>
  <si>
    <t>100023822KG</t>
  </si>
  <si>
    <t>FABRIC: COTTON; THREAD COUNT: 150; POLYESTER FILL (COMFORTER)</t>
  </si>
  <si>
    <t>42075511272</t>
  </si>
  <si>
    <t>Peri Home Chenille Lattice King Duvet Co White King</t>
  </si>
  <si>
    <t>2-2113DKWT</t>
  </si>
  <si>
    <t>81 SGL</t>
  </si>
  <si>
    <t>PERI HOME/CHF INDUSTRIES</t>
  </si>
  <si>
    <t>732998216261</t>
  </si>
  <si>
    <t>Charter Club Damask Thin Stripe Cotton 550- Neo Natural King</t>
  </si>
  <si>
    <t>100051414KG</t>
  </si>
  <si>
    <t>FABRIC: 100% COTTON THREAD COUNT: 550</t>
  </si>
  <si>
    <t>733002270637</t>
  </si>
  <si>
    <t>Martha Stewart Collection Herring Stripe 3Pc Quilt Set K Blue King</t>
  </si>
  <si>
    <t>100120184KG</t>
  </si>
  <si>
    <t>706258050797</t>
  </si>
  <si>
    <t>Charter Club Damask Stripe Supima Cotton 55 Taupe Queen</t>
  </si>
  <si>
    <t>DLLSTQNSTAU</t>
  </si>
  <si>
    <t>783048057778</t>
  </si>
  <si>
    <t>Style 212 Style 212 Carlyle 12 Piece Bed Grey Full</t>
  </si>
  <si>
    <t>BIB2706GYFU-00</t>
  </si>
  <si>
    <t>733002270606</t>
  </si>
  <si>
    <t>Martha Stewart Collection Vintage Floral 3Pc Quilt Set F Yellow FullQueen</t>
  </si>
  <si>
    <t>100115797FQ</t>
  </si>
  <si>
    <t>750105138312</t>
  </si>
  <si>
    <t>Charter Club Firm StandardQueen Down Pillo White StandardQueen</t>
  </si>
  <si>
    <t>FEDP0860WQ</t>
  </si>
  <si>
    <t>REMOVABLE COVER: 100% COTTON</t>
  </si>
  <si>
    <t>732999855193</t>
  </si>
  <si>
    <t>Charter Club Damask Designs Floral Blooms 3 Grey FullQueen</t>
  </si>
  <si>
    <t>100104275FQ</t>
  </si>
  <si>
    <t>800014152104</t>
  </si>
  <si>
    <t>White Birch Myra 3-Pc. Full Comforter Set Purple Full</t>
  </si>
  <si>
    <t>21051802CMS</t>
  </si>
  <si>
    <t>PURPLE</t>
  </si>
  <si>
    <t>RFTOPFITTE</t>
  </si>
  <si>
    <t>ELLISON FIRST ASIA LLC</t>
  </si>
  <si>
    <t>733001281740</t>
  </si>
  <si>
    <t>Martha Stewart Collection Textured Faux Fur Throw Grey 60 X 50</t>
  </si>
  <si>
    <t>VALA78X7</t>
  </si>
  <si>
    <t>MARTHA STEWART-MMG/MSLO-THROWS</t>
  </si>
  <si>
    <t>732997906514</t>
  </si>
  <si>
    <t>Hotel Collection Hotel Collection Terra Quilted Grey King</t>
  </si>
  <si>
    <t>100073997KG</t>
  </si>
  <si>
    <t>FRONT: COTTON/POLYESTER BLEND, FILL: 100% POLYESTER</t>
  </si>
  <si>
    <t>735732053580</t>
  </si>
  <si>
    <t>VCNY Home Nina 3-Pc. Embossed King Quilt Taupe King</t>
  </si>
  <si>
    <t>NIA-QLT-KING-IN-TAUP</t>
  </si>
  <si>
    <t>VICTORIA/TEXTILES FROM EUROPE</t>
  </si>
  <si>
    <t>732996252742</t>
  </si>
  <si>
    <t>Martha Stewart Collection Cool To Touch Full Mattress Pa White Full</t>
  </si>
  <si>
    <t>100069116FL</t>
  </si>
  <si>
    <t>RFMATTRESS</t>
  </si>
  <si>
    <t>MARTHA STEWART-E&amp;E CO/JLA HOME</t>
  </si>
  <si>
    <t>194938008204</t>
  </si>
  <si>
    <t>Home Boutique CLOSEOUT 3-Piece Microfiber F Paris Floral FullQueen</t>
  </si>
  <si>
    <t>16T006507</t>
  </si>
  <si>
    <t>LUSH DECOR/TRIANGLE HOME FASHIONS</t>
  </si>
  <si>
    <t>29927557718</t>
  </si>
  <si>
    <t>No. 918 Odelia 50 x 95 Distressed Ve Pearl 50x95</t>
  </si>
  <si>
    <t>190714392765</t>
  </si>
  <si>
    <t>Lacourte Herringbone 20 Square Decorat Sand 18x18</t>
  </si>
  <si>
    <t>1128867SAND20X20</t>
  </si>
  <si>
    <t>BGEOVERFLW</t>
  </si>
  <si>
    <t>ENVOGUE INTERNATIONAL LLC</t>
  </si>
  <si>
    <t>96675467484</t>
  </si>
  <si>
    <t>SensorPEDIC 2 Pack SofLOFT Extra Firm Dens White Queen</t>
  </si>
  <si>
    <t>SOFT-TEX MFG CO/SOFT-TEX INT'L INC</t>
  </si>
  <si>
    <t>636202045350</t>
  </si>
  <si>
    <t>Hotel Collection Hotel Collection Finest Elegan Mica Bath Towels</t>
  </si>
  <si>
    <t>HTLELITEBM</t>
  </si>
  <si>
    <t>COTTON/MODAL</t>
  </si>
  <si>
    <t>883893689336</t>
  </si>
  <si>
    <t>Laura Ashley Laura Ashley Natalie Ruffled P Sage No Size</t>
  </si>
  <si>
    <t>USHSNF1166878</t>
  </si>
  <si>
    <t>LAURA ASHLEY/REVMAN INTERNATIONAL</t>
  </si>
  <si>
    <t>733001947783</t>
  </si>
  <si>
    <t>Martha Stewart Collection Flora Fauna Yarn Dye Patchwork Pink King Sham</t>
  </si>
  <si>
    <t>100115787KS</t>
  </si>
  <si>
    <t>726895578317</t>
  </si>
  <si>
    <t>Martha Stewart Collection Solid Open Stock 400-Thread Co Ivory Queen Fitted</t>
  </si>
  <si>
    <t>10021050QN</t>
  </si>
  <si>
    <t>QNBOTTOMFT</t>
  </si>
  <si>
    <t>726895578294</t>
  </si>
  <si>
    <t>Martha Stewart Collection Solid Open Stock 400-Thread Co Cloud White Queen Fitted</t>
  </si>
  <si>
    <t>726895578539</t>
  </si>
  <si>
    <t>Martha Stewart Collection Solid Open Stock 400-Thread Co Cloud White Full Flat</t>
  </si>
  <si>
    <t>10021051FL</t>
  </si>
  <si>
    <t>REGFULFLAT</t>
  </si>
  <si>
    <t>726895578133</t>
  </si>
  <si>
    <t>Martha Stewart Collection Solid Open Stock 400-Thread Co Cloud White Full Fitted</t>
  </si>
  <si>
    <t>10021050FL</t>
  </si>
  <si>
    <t>RFBOTTOMFT</t>
  </si>
  <si>
    <t>91116725499</t>
  </si>
  <si>
    <t>Sanders Holiday 5-Pc. Full Sheet Set w Holly Berry Full</t>
  </si>
  <si>
    <t>HDYSS1F</t>
  </si>
  <si>
    <t>29927577549</t>
  </si>
  <si>
    <t>Clean Window Clean Window Twill Stripe Anti Mocha 52 x 36</t>
  </si>
  <si>
    <t>KHAKI</t>
  </si>
  <si>
    <t>29927565096</t>
  </si>
  <si>
    <t>No. 918 No. 918 Delia 50 x 63 Embroi White 50x63</t>
  </si>
  <si>
    <t>885308392794</t>
  </si>
  <si>
    <t>Eclipse Chelsea Rod Pocket Panel Ivory 52x84</t>
  </si>
  <si>
    <t>15296052084IVY</t>
  </si>
  <si>
    <t>KEECO LLC/GRASSI ASSOCIATES INC</t>
  </si>
  <si>
    <t>76389017779</t>
  </si>
  <si>
    <t>CHF Birds 58 x 14 Valance Chocolate 58x14</t>
  </si>
  <si>
    <t>1-469000CT</t>
  </si>
  <si>
    <t>DARK BROWN</t>
  </si>
  <si>
    <t>CHF INDUSTRIES INC</t>
  </si>
  <si>
    <t>706254462945</t>
  </si>
  <si>
    <t>Hotel Collection Ultimate MicroCotton 30 x 5 White Bath Towels</t>
  </si>
  <si>
    <t>HTLMCBWHT</t>
  </si>
  <si>
    <t>732996565033</t>
  </si>
  <si>
    <t>Martha Stewart Collection Poinsettia Bath Towel White Combo No Size</t>
  </si>
  <si>
    <t>MARTHA STEWART-EDI/E &amp; E CO LTD</t>
  </si>
  <si>
    <t>FABRIC: 100% COTTON</t>
  </si>
  <si>
    <t>726895579574</t>
  </si>
  <si>
    <t>Martha Stewart Collection Solid Open Stock 400-Thread Co Cloud White Standard</t>
  </si>
  <si>
    <t>10021053SP</t>
  </si>
  <si>
    <t>706254616577</t>
  </si>
  <si>
    <t>Hotel Collection Borderline 16 x 30 Hand Towe Beige Hand Towels</t>
  </si>
  <si>
    <t>HTLBRDHOT</t>
  </si>
  <si>
    <t>706254464895</t>
  </si>
  <si>
    <t>Hotel Collection Ultimate MicroCotton 13 x 13 Dune Washcloths</t>
  </si>
  <si>
    <t>HTLMCWDNE</t>
  </si>
  <si>
    <t>193842114865</t>
  </si>
  <si>
    <t>J Queen New York Nicolette 4 Piece Comforter Se Blue Queen</t>
  </si>
  <si>
    <t>2628006QCS</t>
  </si>
  <si>
    <t>193842117200</t>
  </si>
  <si>
    <t>J Queen New York Malita Queen 4 Piece Comforter Powder Blue Queen</t>
  </si>
  <si>
    <t>2654123QCS</t>
  </si>
  <si>
    <t>706257998120</t>
  </si>
  <si>
    <t>Hotel Collection Fresco King Comforter Gold King</t>
  </si>
  <si>
    <t>FO02KC790</t>
  </si>
  <si>
    <t>732997493212</t>
  </si>
  <si>
    <t>Charter Club Damask Thin Stripe Cotton 550- Granite Dark Grey King</t>
  </si>
  <si>
    <t>100068874KG</t>
  </si>
  <si>
    <t>DARK GRAY</t>
  </si>
  <si>
    <t>706258049982</t>
  </si>
  <si>
    <t>Charter Club Damask Supima Cotton 550-Threa Sunglow Dark Khaki Queen</t>
  </si>
  <si>
    <t>DLLSLQNSSUN</t>
  </si>
  <si>
    <t>LT/PAS YEL</t>
  </si>
  <si>
    <t>732999609895</t>
  </si>
  <si>
    <t>Charter Club Damask Designs Printed Leaves Green FullQueen</t>
  </si>
  <si>
    <t>100078410FQ</t>
  </si>
  <si>
    <t>DARK GREEN</t>
  </si>
  <si>
    <t>675716749354</t>
  </si>
  <si>
    <t>Madison Park Madison Park Aubrey Paisley 50 Burgundy 50x95</t>
  </si>
  <si>
    <t>MP40-2713</t>
  </si>
  <si>
    <t>WINE</t>
  </si>
  <si>
    <t>735732886904</t>
  </si>
  <si>
    <t>VCNY Home Carmen 3-Pc. Ruched Queen Duve White Queen</t>
  </si>
  <si>
    <t>CMN-3DV-QUEN-OV-WHIT</t>
  </si>
  <si>
    <t>734737485686</t>
  </si>
  <si>
    <t>Fairfield Square Collection Austin 8-Pc. Reversible Comfor Blue Twin XL</t>
  </si>
  <si>
    <t>1575C929V</t>
  </si>
  <si>
    <t>810033092862</t>
  </si>
  <si>
    <t>Caro Home Manchester Cotton 30 x 54 Ba Medium Blue Bath Towels</t>
  </si>
  <si>
    <t>BT2063T1353</t>
  </si>
  <si>
    <t>CARO HOME LLC</t>
  </si>
  <si>
    <t>735837574157</t>
  </si>
  <si>
    <t>Hotel Collection European White Goose Down Ligh White King</t>
  </si>
  <si>
    <t>HWGDLK03</t>
  </si>
  <si>
    <t>800298618402</t>
  </si>
  <si>
    <t>Donna Karan Moonscape Reversible Textured Charcoal FullQueen</t>
  </si>
  <si>
    <t>MOD118173DVG</t>
  </si>
  <si>
    <t>732996468075</t>
  </si>
  <si>
    <t>Hotel Collection Classic Roseblush King Coverle Blush King</t>
  </si>
  <si>
    <t>100072036KG</t>
  </si>
  <si>
    <t>FABRIC: COTTON; EMBROIDERY: POLYESTER; POLYESTER FILL</t>
  </si>
  <si>
    <t>706257998137</t>
  </si>
  <si>
    <t>Hotel Collection Fresco FullQueen Duvet Cover Gold FullQueen</t>
  </si>
  <si>
    <t>FO11QD790</t>
  </si>
  <si>
    <t>VISCOSE/POLYESTER/COTTON</t>
  </si>
  <si>
    <t>96675810082</t>
  </si>
  <si>
    <t>Martha Stewart Collection Dream Science 2 Memory Foam T White Twin</t>
  </si>
  <si>
    <t>10012103TW</t>
  </si>
  <si>
    <t>MARTHA STEWART-EDI/SOFT-TEX MFG CO</t>
  </si>
  <si>
    <t>COVER FACE: NYLON; FILL/INNER/BACK: POLYESTER; FOAM: POLYURETHANE</t>
  </si>
  <si>
    <t>733001229902</t>
  </si>
  <si>
    <t>Martha Stewart Collection LAST ACT Feather Velvet Full Rust FullQueen</t>
  </si>
  <si>
    <t>100104025FQ</t>
  </si>
  <si>
    <t>RUSTCOPPER</t>
  </si>
  <si>
    <t>733002141586</t>
  </si>
  <si>
    <t>Martha Stewart Collection Watercolor Stripe 3-Pc. Revers Grey FullQueen</t>
  </si>
  <si>
    <t>100115852FQ</t>
  </si>
  <si>
    <t>MRTH STWRT WH</t>
  </si>
  <si>
    <t>MMG-MARTHA STEWART/YUNUS</t>
  </si>
  <si>
    <t>706258089162</t>
  </si>
  <si>
    <t>DLDSTQNSMLB</t>
  </si>
  <si>
    <t>788904802035</t>
  </si>
  <si>
    <t>Serta White Goose Feather And Down F White King</t>
  </si>
  <si>
    <t>SE201514K</t>
  </si>
  <si>
    <t>KING</t>
  </si>
  <si>
    <t>26865997293</t>
  </si>
  <si>
    <t>Elrene Elrene Aurora 52 x 95 Single Pearl Gray 52x95</t>
  </si>
  <si>
    <t>24298PRY</t>
  </si>
  <si>
    <t>ELRENE HOME FASHIONS</t>
  </si>
  <si>
    <t>674278650474</t>
  </si>
  <si>
    <t>Elegant Home Fashions 63 Lamia Premium Solid Insula Grey</t>
  </si>
  <si>
    <t>WC-CHB14-63</t>
  </si>
  <si>
    <t>TEAMSON US INC</t>
  </si>
  <si>
    <t>734737532731</t>
  </si>
  <si>
    <t>Fairfield Square Collection Paris Gold 8-Pc. Reversible Qu White King</t>
  </si>
  <si>
    <t>18393324NCPV</t>
  </si>
  <si>
    <t>750105141640</t>
  </si>
  <si>
    <t>Eddie Bauer Eddie Bauer Body Pillow White ONE SIZE</t>
  </si>
  <si>
    <t>DLBPI0230WB</t>
  </si>
  <si>
    <t>DOWN LITE INTERNATIONAL</t>
  </si>
  <si>
    <t>400TC COTTON; 50 OZ. HYPOALLERGENIC DOWN ALTERNATIVE FILL</t>
  </si>
  <si>
    <t>783048124784</t>
  </si>
  <si>
    <t>Pem America Floral Bouquet King 8PC Comfor Purple King</t>
  </si>
  <si>
    <t>BIB3546KG-3240</t>
  </si>
  <si>
    <t>732995895513</t>
  </si>
  <si>
    <t>Hotel Collection Metallic Stone Quilted Standar Gold Standard Sham</t>
  </si>
  <si>
    <t>100041576SD</t>
  </si>
  <si>
    <t>POLYESTER / RAYON</t>
  </si>
  <si>
    <t>96675467491</t>
  </si>
  <si>
    <t>SensorGel 2 Pack SofLOFT Extra Firm Dens White King</t>
  </si>
  <si>
    <t>842941139261</t>
  </si>
  <si>
    <t>Tribeca Living Tribeca Living Flannel Queen F Ivory Queen</t>
  </si>
  <si>
    <t>FL170EDSIQUFLIV</t>
  </si>
  <si>
    <t>TRIBECA LIVING/MARWAH CORPORATION</t>
  </si>
  <si>
    <t>675716660109</t>
  </si>
  <si>
    <t>Sleep Philosophy Bed Guardian 3M Scotchgard Twi White Twin XL</t>
  </si>
  <si>
    <t>BASI16-0316</t>
  </si>
  <si>
    <t>WONDER WOOL/JLA HOME/E &amp; E CO LTD</t>
  </si>
  <si>
    <t>706255334449</t>
  </si>
  <si>
    <t>Martha Stewart Collection Chateau Standard Sham Tan Standard Sham</t>
  </si>
  <si>
    <t>CHTNEUST</t>
  </si>
  <si>
    <t>FRONT: COTTON; BACK: POLYESTER; FILL: COTTON</t>
  </si>
  <si>
    <t>190714413941</t>
  </si>
  <si>
    <t>Lacourte 2 Pack 20 x 20 Peoria Decora Yellow 20x20</t>
  </si>
  <si>
    <t>1130483YEL20X20</t>
  </si>
  <si>
    <t>86569039491</t>
  </si>
  <si>
    <t>Madison Park Duke 20 Square Faux-Fur Decor Blue 20x20</t>
  </si>
  <si>
    <t>MP30-5785</t>
  </si>
  <si>
    <t>COVER: 100% COTTON; FILLING: 100% POLYESTER</t>
  </si>
  <si>
    <t>791551525721</t>
  </si>
  <si>
    <t>Berkshire Berkshire Classic Velvety Plus White FullQueen</t>
  </si>
  <si>
    <t>13841-FQ-001</t>
  </si>
  <si>
    <t>BERKSHIRE BLANKET</t>
  </si>
  <si>
    <t>732994072403</t>
  </si>
  <si>
    <t>Martha Stewart Collection Feels Like Down King Medium Pi White King</t>
  </si>
  <si>
    <t>10029646KG</t>
  </si>
  <si>
    <t>MARTHA STEWART-EDI/DOWNLITE</t>
  </si>
  <si>
    <t>32281245986</t>
  </si>
  <si>
    <t>Disney Disney Pillow Buddy Disney Frozen 2 Elsa Standard</t>
  </si>
  <si>
    <t>JF24598</t>
  </si>
  <si>
    <t>DISNEY/JAY FRANCO &amp; SONS</t>
  </si>
  <si>
    <t>10482036206</t>
  </si>
  <si>
    <t>Magic Skirt Tailored Queen Bed Skirt Ivory Queen</t>
  </si>
  <si>
    <t>FRE-245-14-IVOR-03</t>
  </si>
  <si>
    <t>LEVINSOHN TEXTILE CO INC</t>
  </si>
  <si>
    <t>91116694795</t>
  </si>
  <si>
    <t>Jessica Sanders Solid Microfiber Queen Sheet S Plum Queen</t>
  </si>
  <si>
    <t>SM3SSQ</t>
  </si>
  <si>
    <t>DARKPURPLE</t>
  </si>
  <si>
    <t>96675162532</t>
  </si>
  <si>
    <t>BioPEDIC BioPEDIC Fresh and Clean Pillo White Body Pillow</t>
  </si>
  <si>
    <t>706254463041</t>
  </si>
  <si>
    <t>Hotel Collection Ultimate MicroCotton 30 x 5 Jade Bath Towels</t>
  </si>
  <si>
    <t>HTLMCBJDE</t>
  </si>
  <si>
    <t>706254462884</t>
  </si>
  <si>
    <t>Hotel Collection Ultimate MicroCotton 30 x 5 Vapor Bath Towels</t>
  </si>
  <si>
    <t>HTLMCBVAP</t>
  </si>
  <si>
    <t>32281252151</t>
  </si>
  <si>
    <t>Disney Star Wars Empire 40th Annivers Star Wars Empire</t>
  </si>
  <si>
    <t>JF25215</t>
  </si>
  <si>
    <t>29927250053</t>
  </si>
  <si>
    <t>No. 918 No. 918 Calypso Voile Sheer Ro Pink 59x63</t>
  </si>
  <si>
    <t>21864277001</t>
  </si>
  <si>
    <t>Avanti Bath Towels, Bradford 11 x 18 Linen</t>
  </si>
  <si>
    <t>017894LIN</t>
  </si>
  <si>
    <t>FINGER TIP</t>
  </si>
  <si>
    <t>COTTON; EXCLUSIVE OF EMBELLISHMENT</t>
  </si>
  <si>
    <t>734737534827</t>
  </si>
  <si>
    <t>Sunham Soft Spun Cotton Bath Towel White Bath Towels</t>
  </si>
  <si>
    <t>T18437N012752</t>
  </si>
  <si>
    <t>688614000809</t>
  </si>
  <si>
    <t>DRAFT - Tribeca Living 170-Gsm Dark Brown</t>
  </si>
  <si>
    <t>38992917624</t>
  </si>
  <si>
    <t>Waterford Carrick Reversible 4-Pc. King SilverGold King</t>
  </si>
  <si>
    <t>CSCRCKW04404KG</t>
  </si>
  <si>
    <t>SILVER</t>
  </si>
  <si>
    <t>FABRIC AND FILL: POLYESTER</t>
  </si>
  <si>
    <t>675716957391</t>
  </si>
  <si>
    <t>Madison Park Blaire 7-Pc. Faux-Silk King Co Navy King</t>
  </si>
  <si>
    <t>MP10-4518</t>
  </si>
  <si>
    <t>FAUX-SILK COMFORTER AND SHAM FACE: POLYESTER; MICROFIBER FROM POLYESTER REVERSE; BEDSKIRT: POLYESTER; DECORATIVE PILLOWS: POLYESTER; POLYESTER FILL; COMFORTER FILL: POLYESTER 8-OZ. PER SQUARE YARD</t>
  </si>
  <si>
    <t>675716583958</t>
  </si>
  <si>
    <t>Madison Park Essentials Avalon 9-Pc. King C Grey King</t>
  </si>
  <si>
    <t>MPE10-043</t>
  </si>
  <si>
    <t>COMFORTER/SHAM/BEDSKIRT: POLYESTER/COTTON</t>
  </si>
  <si>
    <t>675716320508</t>
  </si>
  <si>
    <t>Madison Park Madison Park Quebec 3-Piece Fu Ivory FullQueen</t>
  </si>
  <si>
    <t>MP13-149</t>
  </si>
  <si>
    <t>MICROFIBER FROM 100% POLYESTER; COVERLET FILL: 90% COTTON, 5% PLYESTER,5% OTHER FIBERS</t>
  </si>
  <si>
    <t>800298644272</t>
  </si>
  <si>
    <t>Donna Karan Aire 16 x 16 Decorative Pill Silver</t>
  </si>
  <si>
    <t>AIR001597PLG</t>
  </si>
  <si>
    <t>16X16</t>
  </si>
  <si>
    <t>813654029040</t>
  </si>
  <si>
    <t>HiEnd Accents 18x18 Cable Knit Pillow Red No Size</t>
  </si>
  <si>
    <t>PL5002-OS-RD</t>
  </si>
  <si>
    <t>HIEND ACCENTS/3J INTERNATIONAL LTD</t>
  </si>
  <si>
    <t>SHELL: 70% ACRYLIC, 30% WOOL. FILLING: 100% POLYESTER</t>
  </si>
  <si>
    <t>675716569013</t>
  </si>
  <si>
    <t>Madison Park Sarasota 3-Pc. KingCalifornia Seafoam KingCalifornia King</t>
  </si>
  <si>
    <t>MP10-1257</t>
  </si>
  <si>
    <t>POLYESTER; POLYESTER FILL</t>
  </si>
  <si>
    <t>706255888973</t>
  </si>
  <si>
    <t>Hotel Collection Turkish 27 x 44 Bath Rug Marine 27 x 44</t>
  </si>
  <si>
    <t>HTRKSH2X4MR</t>
  </si>
  <si>
    <t>PB-BTH-RUG/AC</t>
  </si>
  <si>
    <t>675716825973</t>
  </si>
  <si>
    <t>Madison Park Madison Park Serene 72 x 72 Navy 72X72</t>
  </si>
  <si>
    <t>MP70-3452</t>
  </si>
  <si>
    <t>784857909906</t>
  </si>
  <si>
    <t>Idea Nuova Holiday Poinsettia 17-Pc. Bath Multi No Size</t>
  </si>
  <si>
    <t>YK699435</t>
  </si>
  <si>
    <t>ASSORTED</t>
  </si>
  <si>
    <t>IDEA NUOVA INC</t>
  </si>
  <si>
    <t>675716766818</t>
  </si>
  <si>
    <t>Madison Park Quebec Oversized Quilted Throw Seafoam 60x70</t>
  </si>
  <si>
    <t>MP50-2987</t>
  </si>
  <si>
    <t>FACE AND REVERSE: POLYESTER 85 GRAMS PER SQUARE METER; FILL: COTTON 200 GRAMS PER SQUARE METER</t>
  </si>
  <si>
    <t>735732244360</t>
  </si>
  <si>
    <t>VCNY Home X White</t>
  </si>
  <si>
    <t>CIP-BTH-17PC-MA-WHMU</t>
  </si>
  <si>
    <t>849657012925</t>
  </si>
  <si>
    <t>Rod Desyne Rod Desyne Tilly Single Curtai Antique Gold 28-48in</t>
  </si>
  <si>
    <t>5709-284</t>
  </si>
  <si>
    <t>ROD DESYNE</t>
  </si>
  <si>
    <t>STEEL; RESIN FINIALS</t>
  </si>
  <si>
    <t>83013301883</t>
  </si>
  <si>
    <t>Croscill Croscill Carlotta Square Decor Multi 18x18</t>
  </si>
  <si>
    <t>2A0-590C0-8090</t>
  </si>
  <si>
    <t>12 SGL</t>
  </si>
  <si>
    <t>EX-CELL HOME FASHIONS INC</t>
  </si>
  <si>
    <t>732997143025</t>
  </si>
  <si>
    <t>Hotel Collection CLOSEOUT Hotel Collection Dec Gold Standard Sham</t>
  </si>
  <si>
    <t>100057833SD</t>
  </si>
  <si>
    <t>FRONT: COTTON/POLYESTER; BACK: COTTON; EMBROIDERY: POLYESTER/METALLIC</t>
  </si>
  <si>
    <t>846339080371</t>
  </si>
  <si>
    <t>J Queen New York J Queen New York Astoria 16 S White</t>
  </si>
  <si>
    <t>223602016SQ</t>
  </si>
  <si>
    <t>675716545840</t>
  </si>
  <si>
    <t>Sleep Philosophy Plaid Micro-Fleece King Blanke Multi King</t>
  </si>
  <si>
    <t>BL51-0689</t>
  </si>
  <si>
    <t>675716604042</t>
  </si>
  <si>
    <t>INKIVY Kiran Embroidered 12 x 18 De Taupe 12x18</t>
  </si>
  <si>
    <t>II30-209</t>
  </si>
  <si>
    <t>12X18</t>
  </si>
  <si>
    <t>FABRIC: COTTON; 300 GRAM POLYESTER FILL; THREAD COUNT: 200</t>
  </si>
  <si>
    <t>706255403657</t>
  </si>
  <si>
    <t>Martha Stewart Collection Martha Stewart Collection Piqu Chalk Queen</t>
  </si>
  <si>
    <t>SPQQBSC822</t>
  </si>
  <si>
    <t>MARTHA STEWART-EDI/PAC-FUNG FEATHER</t>
  </si>
  <si>
    <t>190714377441</t>
  </si>
  <si>
    <t>Lacourte Oh My Gourd 20 x 20 Decorati Blkwht 18x18</t>
  </si>
  <si>
    <t>1127905BLKWT20X20</t>
  </si>
  <si>
    <t>732994761109</t>
  </si>
  <si>
    <t>Charter Club Damask Designs Embroidered 18 Aqua 18x18</t>
  </si>
  <si>
    <t>21166124997</t>
  </si>
  <si>
    <t>Universal Home Fashions Universal Home Fashions Pompom Teal 18x18</t>
  </si>
  <si>
    <t>UNIVERSAL HOME FASH/WELCOME INDUST</t>
  </si>
  <si>
    <t>840037202851</t>
  </si>
  <si>
    <t>Mistletoe Farms 6 Piece Spa Set Patchouli ONE SIZE</t>
  </si>
  <si>
    <t>6SPA3100GN-060</t>
  </si>
  <si>
    <t>651896642791</t>
  </si>
  <si>
    <t>Morgan Home Buffalo Stag Gray 3 PC Decorat Kendrick Plaid</t>
  </si>
  <si>
    <t>M642791</t>
  </si>
  <si>
    <t>MORGAN HOME FASHIONS</t>
  </si>
  <si>
    <t>815492019511</t>
  </si>
  <si>
    <t>Rod Desyne Lockseam 2 Clearance Curtain White 28-48in</t>
  </si>
  <si>
    <t>KLS2028</t>
  </si>
  <si>
    <t>STEEL</t>
  </si>
  <si>
    <t>732997421765</t>
  </si>
  <si>
    <t>Martha Stewart Collection Flourish Velvet Quilted Standa Dusty Blue Standard Sham</t>
  </si>
  <si>
    <t>VFLSHBLST</t>
  </si>
  <si>
    <t>POLYESTER/SPANDEX/COTTON; FILL: COTTON</t>
  </si>
  <si>
    <t>840037202912</t>
  </si>
  <si>
    <t>Mistletoe Farms 3 Piece Counter Set Red ONE SIZE</t>
  </si>
  <si>
    <t>3PCS3934RD-060</t>
  </si>
  <si>
    <t>840037202929</t>
  </si>
  <si>
    <t>3PCS3931MU-060</t>
  </si>
  <si>
    <t>651896642838</t>
  </si>
  <si>
    <t>Morgan Home LAST ACT Holiday Print Plush Deck The Halls No Size</t>
  </si>
  <si>
    <t>M642838</t>
  </si>
  <si>
    <t>732998408765</t>
  </si>
  <si>
    <t>Martha Stewart Collection Garden Floral Cotton Standard Blue Standard Sham</t>
  </si>
  <si>
    <t>100082701ST</t>
  </si>
  <si>
    <t>732997957448</t>
  </si>
  <si>
    <t>Charter Club Damask Designs Mrs Cotton 20 Mrs Standard Sham</t>
  </si>
  <si>
    <t>100067972SD</t>
  </si>
  <si>
    <t>732995531411</t>
  </si>
  <si>
    <t>Martha Stewart Collection Signature Scallop Pillowcase P Coral Standard Pillowcases</t>
  </si>
  <si>
    <t>100049577SD</t>
  </si>
  <si>
    <t>LT/PAS ORG</t>
  </si>
  <si>
    <t>608356220396</t>
  </si>
  <si>
    <t>Charter Club Damask Stripe Supima Cotton 55 Winter Pine Green Standard Pillowcases</t>
  </si>
  <si>
    <t>DLDSTSPCGRN</t>
  </si>
  <si>
    <t>735837574188</t>
  </si>
  <si>
    <t>Hotel Collection European White Goose Down Medi White King</t>
  </si>
  <si>
    <t>HWGDKM06</t>
  </si>
  <si>
    <t>846339072024</t>
  </si>
  <si>
    <t>J Queen New York La Scala Queen Comforter Set Gold Queen</t>
  </si>
  <si>
    <t>2141030QCS</t>
  </si>
  <si>
    <t>ALL POLYESTER</t>
  </si>
  <si>
    <t>706254953467</t>
  </si>
  <si>
    <t>Hotel Collection Iridescence King Duvet Cover Grey King</t>
  </si>
  <si>
    <t>100047287KG</t>
  </si>
  <si>
    <t>FABRIC: POLYESTER; REVERSES TO COTTON; THREAD COUNT: 376; REVERSES TO 220</t>
  </si>
  <si>
    <t>843145112609</t>
  </si>
  <si>
    <t>Chic Home Chic Home Westmont 4-Pc. Queen Grey Queen</t>
  </si>
  <si>
    <t>BCS12609</t>
  </si>
  <si>
    <t>QNCOMFORTE</t>
  </si>
  <si>
    <t>CHIC HOME DESIGN LLC</t>
  </si>
  <si>
    <t>FABRIC: 100% POLYESTER MICROFIBERFILL: 100% POLYESTER</t>
  </si>
  <si>
    <t>733002201686</t>
  </si>
  <si>
    <t>Martha Stewart Collection Embroidered Tile 100 Cotton K White King</t>
  </si>
  <si>
    <t>100115793KG</t>
  </si>
  <si>
    <t>848742074510</t>
  </si>
  <si>
    <t>Lush Decor Ava Cotton 3-Piece King Quilt Ivory King</t>
  </si>
  <si>
    <t>16T003074</t>
  </si>
  <si>
    <t>96675611320</t>
  </si>
  <si>
    <t>SensorGel Sensor Gel SlumberMax Hybrid 4 White Full</t>
  </si>
  <si>
    <t>732997680650</t>
  </si>
  <si>
    <t>Hotel Collection Hotel Collection 1000 Thread C Grey King</t>
  </si>
  <si>
    <t>100013565KG</t>
  </si>
  <si>
    <t>KING FLAT</t>
  </si>
  <si>
    <t>732998350309</t>
  </si>
  <si>
    <t>Martha Stewart Collection Valencia Mandala 3-Pc. King Co Blue King</t>
  </si>
  <si>
    <t>100081810KG</t>
  </si>
  <si>
    <t>FABRIC: 100% COTTON 250 GRAMS PER SQUARE METER; THREAD COUNT: 250, REVERSES TO 144</t>
  </si>
  <si>
    <t>733002201822</t>
  </si>
  <si>
    <t>Martha Stewart Collection Painterly Flr 3Pc Quilt Set Kg Lightpastel Grey King</t>
  </si>
  <si>
    <t>100120187KG</t>
  </si>
  <si>
    <t>733001891741</t>
  </si>
  <si>
    <t>Martha Stewart Collection Batik Embroidery FullQueen Qu Beigekhaki FullQueen</t>
  </si>
  <si>
    <t>100102820FQ</t>
  </si>
  <si>
    <t>706258051374</t>
  </si>
  <si>
    <t>Charter Club Damask Cotton 210-Thread Count White FullQueen</t>
  </si>
  <si>
    <t>DSKQLTCFQWH</t>
  </si>
  <si>
    <t>706254517263</t>
  </si>
  <si>
    <t>Charter Club Damask Cotton 210-Thread Count Marina FullQueen</t>
  </si>
  <si>
    <t>DSKQLTCFQMAR</t>
  </si>
  <si>
    <t>706255275568</t>
  </si>
  <si>
    <t>Charter Club Damask Designs 500 Thread Coun Geo Dove Queen</t>
  </si>
  <si>
    <t>DPQSGEODOV</t>
  </si>
  <si>
    <t>PIMA COTTON</t>
  </si>
  <si>
    <t>706258090960</t>
  </si>
  <si>
    <t>Charter Club Damask Stripe Supima Cotton 55 Smoke Grey Queen</t>
  </si>
  <si>
    <t>DLLSTQDSSMO</t>
  </si>
  <si>
    <t>732998216193</t>
  </si>
  <si>
    <t>Charter Club Damask Stripe Supima Cotton 55 Neo Natural Queen</t>
  </si>
  <si>
    <t>DLLSTQNSNAT</t>
  </si>
  <si>
    <t>96675623408</t>
  </si>
  <si>
    <t>SensorPEDIC 2-Inch Essentials Memory Foam White Queen</t>
  </si>
  <si>
    <t>NO COVER</t>
  </si>
  <si>
    <t>191790024397</t>
  </si>
  <si>
    <t>Fairfield Square Collection Brookline 1400-Thread Count 6- White California King</t>
  </si>
  <si>
    <t>23312105001AQT</t>
  </si>
  <si>
    <t>732996468150</t>
  </si>
  <si>
    <t>Hotel Collection Classic Roseblush 12 x 26 De Blush</t>
  </si>
  <si>
    <t>COTTON; FILL: POLYESTER</t>
  </si>
  <si>
    <t>675716844929</t>
  </si>
  <si>
    <t>JLA Home Heathered Jersey 4-Pc. Solid K Natural King</t>
  </si>
  <si>
    <t>II20-826</t>
  </si>
  <si>
    <t>PREMIER COMFORT/E &amp; E CO LTD</t>
  </si>
  <si>
    <t>636206071171</t>
  </si>
  <si>
    <t>Hotel Collection Dimensional King Bedskirt Grey King</t>
  </si>
  <si>
    <t>100041077KG</t>
  </si>
  <si>
    <t>732997493151</t>
  </si>
  <si>
    <t>Charter Club Damask Thin Stripe Cotton 550- White Twin</t>
  </si>
  <si>
    <t>100051414TW</t>
  </si>
  <si>
    <t>734737637429</t>
  </si>
  <si>
    <t>Fairfield Square Collection Aspen T1000 CVC Queen sheet se Ivory Queen</t>
  </si>
  <si>
    <t>38992925933</t>
  </si>
  <si>
    <t>Waterford Anora Brass 16 X 20 Collecti Brassjade 16x20</t>
  </si>
  <si>
    <t>DPANOR16X20W261</t>
  </si>
  <si>
    <t>COVER: 100% POLYESTER, EXCLUSIVE OF DECORATION</t>
  </si>
  <si>
    <t>191790040991</t>
  </si>
  <si>
    <t>AQ Textiles Camden 1250 thread count 4 pc Teal Queen</t>
  </si>
  <si>
    <t>25542103065AQT</t>
  </si>
  <si>
    <t>675716969332</t>
  </si>
  <si>
    <t>Madison Park Madison Park Cecily 72 x 72 Grey 72X72</t>
  </si>
  <si>
    <t>MP70-4610</t>
  </si>
  <si>
    <t>RAYON/POLYESTER</t>
  </si>
  <si>
    <t>788904002176</t>
  </si>
  <si>
    <t>Blue Ridge Blue Ridge Reversible Down Alt Blackplatinum King</t>
  </si>
  <si>
    <t>726895578270</t>
  </si>
  <si>
    <t>Martha Stewart Collection Solid Open Stock 400-Thread Co Butter Yellow King Fitted</t>
  </si>
  <si>
    <t>10021050KG</t>
  </si>
  <si>
    <t>BRGHT YELL</t>
  </si>
  <si>
    <t>732998421566</t>
  </si>
  <si>
    <t>Charter Club Embroidered Geometric 210-Thre Bellflower 18x18</t>
  </si>
  <si>
    <t>GEODECBEL</t>
  </si>
  <si>
    <t>SARITA/CHARTER CLUB-MMG-EDI</t>
  </si>
  <si>
    <t>610406820319</t>
  </si>
  <si>
    <t>Homey Cozy Homey Cozy Olivia Stripe Outdo Navy 12x20</t>
  </si>
  <si>
    <t>7H5241-1420-NAVY</t>
  </si>
  <si>
    <t>POLYESTER ARLIC FABRIC</t>
  </si>
  <si>
    <t>732995895414</t>
  </si>
  <si>
    <t>Hotel Collection Metallic Stone King Sham Gold King Sham</t>
  </si>
  <si>
    <t>100038520KG</t>
  </si>
  <si>
    <t>846339079061</t>
  </si>
  <si>
    <t>J Queen New York Essex 50 x 84 Checker Stripe Ivory 50x84</t>
  </si>
  <si>
    <t>204302084PNG</t>
  </si>
  <si>
    <t>784857925852</t>
  </si>
  <si>
    <t>Villa Luxe 2-Pc. Faux-Fur Memory Foam Bat Silver No Size</t>
  </si>
  <si>
    <t>YK700127</t>
  </si>
  <si>
    <t>636193128230</t>
  </si>
  <si>
    <t>Hotel Collection Turkish 30 x 56 Bath Towel Steel Bath Towels</t>
  </si>
  <si>
    <t>HTLTURBSTE</t>
  </si>
  <si>
    <t>766380628134</t>
  </si>
  <si>
    <t>Hotel Collection Turkish 30 x 56 Bath Towel Vapor Bath Towels</t>
  </si>
  <si>
    <t>HTLTURBVAP</t>
  </si>
  <si>
    <t>636189943946</t>
  </si>
  <si>
    <t>Hotel Collection Turkish 30 x 56 Bath Towel English Cream Bath Towels</t>
  </si>
  <si>
    <t>HTLTURBEGC</t>
  </si>
  <si>
    <t>733001925873</t>
  </si>
  <si>
    <t>Charter Club Continuous Cool Medium Firm St White Standard</t>
  </si>
  <si>
    <t>100121787SQ</t>
  </si>
  <si>
    <t>706258615880</t>
  </si>
  <si>
    <t>Martha Stewart Collection Essentials Quilted Waterproof White Queen</t>
  </si>
  <si>
    <t>100058089QN</t>
  </si>
  <si>
    <t>10482318838</t>
  </si>
  <si>
    <t>Todays Home Cotton Rich Tailored King Bed White King</t>
  </si>
  <si>
    <t>TOH24914WHIT04</t>
  </si>
  <si>
    <t>DROP: COTTON / POLYESTER; PLATFORM: POLYPROPYLENE</t>
  </si>
  <si>
    <t>91116694801</t>
  </si>
  <si>
    <t>Jessica Sanders Solid Microfiber Queen Sheet S White Queen</t>
  </si>
  <si>
    <t>854130004670</t>
  </si>
  <si>
    <t>Morning Glamour Single Signature Box -Pretty F Dot</t>
  </si>
  <si>
    <t>SINGLESIGNATURE</t>
  </si>
  <si>
    <t>BRNOVERFLW</t>
  </si>
  <si>
    <t>MORNING GLAMOUR/TCG CONTINUUM LLC</t>
  </si>
  <si>
    <t>29927480818</t>
  </si>
  <si>
    <t>Sun Zero Sun Zero Grant 54 x 18 Valan Steel 54x18</t>
  </si>
  <si>
    <t>732998000211</t>
  </si>
  <si>
    <t>Charter Club Euro Down Alternative 300-Thre White European</t>
  </si>
  <si>
    <t>100085913ER</t>
  </si>
  <si>
    <t>766195455833</t>
  </si>
  <si>
    <t>Tommy Hilfiger All American Cotton Stripe Bat Swedish Blue Stripe Bath Towels</t>
  </si>
  <si>
    <t>083144TH002</t>
  </si>
  <si>
    <t>706254616560</t>
  </si>
  <si>
    <t>Hotel Collection Borderline 16 x 30 Hand Towe Grey Hand Towels</t>
  </si>
  <si>
    <t>HTLBRDHGR</t>
  </si>
  <si>
    <t>636189944912</t>
  </si>
  <si>
    <t>Hotel Collection Turkish 13 Square Washcloth English Cream Washcloths</t>
  </si>
  <si>
    <t>HTLTURWEGC</t>
  </si>
  <si>
    <t>886087347722</t>
  </si>
  <si>
    <t>Lauren Ralph Lauren Lauren Ralph Lauren Nicola Pai Navy And Cream King</t>
  </si>
  <si>
    <t>LAUREN BEDDNG</t>
  </si>
  <si>
    <t>LAUREN BY RL/RALPH LAUREN HOME COLL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</si>
</sst>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9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Q8" sqref="Q8"/>
    </sheetView>
  </sheetViews>
  <sheetFormatPr defaultRowHeight="15" x14ac:dyDescent="0.25"/>
  <cols>
    <col min="2" max="2" width="12.5703125" bestFit="1" customWidth="1"/>
    <col min="4" max="4" width="11.5703125" bestFit="1" customWidth="1"/>
    <col min="7" max="7" width="11.5703125" bestFit="1" customWidth="1"/>
  </cols>
  <sheetData>
    <row r="1" spans="1:7" x14ac:dyDescent="0.25">
      <c r="A1" s="1" t="s">
        <v>1441</v>
      </c>
      <c r="B1" s="2" t="s">
        <v>1442</v>
      </c>
    </row>
    <row r="2" spans="1:7" x14ac:dyDescent="0.25">
      <c r="A2" s="3">
        <v>58</v>
      </c>
      <c r="B2" s="4">
        <v>4248.59</v>
      </c>
    </row>
    <row r="3" spans="1:7" x14ac:dyDescent="0.25">
      <c r="A3" s="3">
        <v>42</v>
      </c>
      <c r="B3" s="4">
        <v>2244.62</v>
      </c>
    </row>
    <row r="4" spans="1:7" x14ac:dyDescent="0.25">
      <c r="A4" s="3">
        <v>36</v>
      </c>
      <c r="B4" s="4">
        <v>2122.7800000000002</v>
      </c>
    </row>
    <row r="5" spans="1:7" x14ac:dyDescent="0.25">
      <c r="A5" s="3">
        <v>54</v>
      </c>
      <c r="B5" s="4">
        <v>3925.55</v>
      </c>
    </row>
    <row r="6" spans="1:7" x14ac:dyDescent="0.25">
      <c r="A6" s="3">
        <v>29</v>
      </c>
      <c r="B6" s="4">
        <v>2432.89</v>
      </c>
    </row>
    <row r="7" spans="1:7" x14ac:dyDescent="0.25">
      <c r="A7" s="3">
        <v>61</v>
      </c>
      <c r="B7" s="4">
        <v>3501.64</v>
      </c>
    </row>
    <row r="8" spans="1:7" x14ac:dyDescent="0.25">
      <c r="A8" s="3">
        <v>51</v>
      </c>
      <c r="B8" s="4">
        <v>2369.0100000000002</v>
      </c>
    </row>
    <row r="9" spans="1:7" x14ac:dyDescent="0.25">
      <c r="A9" s="3">
        <v>57</v>
      </c>
      <c r="B9" s="4">
        <v>4592.51</v>
      </c>
    </row>
    <row r="10" spans="1:7" x14ac:dyDescent="0.25">
      <c r="A10" s="3">
        <v>60</v>
      </c>
      <c r="B10" s="4">
        <v>3538.4</v>
      </c>
    </row>
    <row r="11" spans="1:7" x14ac:dyDescent="0.25">
      <c r="A11" s="3">
        <v>59</v>
      </c>
      <c r="B11" s="4">
        <v>2894.19</v>
      </c>
    </row>
    <row r="12" spans="1:7" x14ac:dyDescent="0.25">
      <c r="A12" s="3">
        <v>44</v>
      </c>
      <c r="B12" s="4">
        <v>3575.56</v>
      </c>
    </row>
    <row r="13" spans="1:7" x14ac:dyDescent="0.25">
      <c r="A13" s="3">
        <v>80</v>
      </c>
      <c r="B13" s="4">
        <v>3566.2</v>
      </c>
    </row>
    <row r="14" spans="1:7" x14ac:dyDescent="0.25">
      <c r="A14" s="3">
        <v>91</v>
      </c>
      <c r="B14" s="4">
        <v>3755.1</v>
      </c>
    </row>
    <row r="15" spans="1:7" x14ac:dyDescent="0.25">
      <c r="A15" s="3">
        <v>56</v>
      </c>
      <c r="B15" s="4">
        <v>4335.57</v>
      </c>
    </row>
    <row r="16" spans="1:7" x14ac:dyDescent="0.25">
      <c r="A16" s="3">
        <v>67</v>
      </c>
      <c r="B16" s="4">
        <v>3449.33</v>
      </c>
      <c r="G16" s="13"/>
    </row>
    <row r="17" spans="1:4" x14ac:dyDescent="0.25">
      <c r="A17" s="3">
        <v>44</v>
      </c>
      <c r="B17" s="4">
        <v>3090.63</v>
      </c>
    </row>
    <row r="18" spans="1:4" x14ac:dyDescent="0.25">
      <c r="A18" s="3">
        <v>34</v>
      </c>
      <c r="B18" s="4">
        <v>2311.77</v>
      </c>
      <c r="D18" s="13"/>
    </row>
    <row r="19" spans="1:4" x14ac:dyDescent="0.25">
      <c r="A19" s="3">
        <v>56</v>
      </c>
      <c r="B19" s="4">
        <v>3325.7</v>
      </c>
    </row>
    <row r="20" spans="1:4" x14ac:dyDescent="0.25">
      <c r="A20" s="3">
        <v>65</v>
      </c>
      <c r="B20" s="4">
        <v>4597.46</v>
      </c>
    </row>
    <row r="21" spans="1:4" x14ac:dyDescent="0.25">
      <c r="A21" s="3">
        <v>43</v>
      </c>
      <c r="B21" s="4">
        <v>3107.66</v>
      </c>
    </row>
    <row r="22" spans="1:4" x14ac:dyDescent="0.25">
      <c r="A22" s="3">
        <v>62</v>
      </c>
      <c r="B22" s="4">
        <v>3799.48</v>
      </c>
    </row>
    <row r="23" spans="1:4" x14ac:dyDescent="0.25">
      <c r="A23" s="3">
        <v>44</v>
      </c>
      <c r="B23" s="4">
        <v>3744.61</v>
      </c>
    </row>
    <row r="24" spans="1:4" x14ac:dyDescent="0.25">
      <c r="A24" s="1">
        <f>SUM(A2:A23)</f>
        <v>1193</v>
      </c>
      <c r="B24" s="2">
        <f>SUM(B2:B23)</f>
        <v>74529.249999999985</v>
      </c>
    </row>
  </sheetData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2456</v>
      </c>
      <c r="B2" s="7" t="s">
        <v>2457</v>
      </c>
      <c r="C2" s="8">
        <v>1</v>
      </c>
      <c r="D2" s="9">
        <v>279.99</v>
      </c>
      <c r="E2" s="8">
        <v>600723357001</v>
      </c>
      <c r="F2" s="7" t="s">
        <v>1560</v>
      </c>
      <c r="G2" s="10"/>
      <c r="H2" s="7" t="s">
        <v>2458</v>
      </c>
      <c r="I2" s="7" t="s">
        <v>2459</v>
      </c>
      <c r="J2" s="7" t="s">
        <v>1461</v>
      </c>
      <c r="K2" s="7" t="s">
        <v>1527</v>
      </c>
      <c r="L2" s="11" t="str">
        <f>HYPERLINK("http://slimages.macys.com/is/image/MCY/12684180 ")</f>
        <v xml:space="preserve">http://slimages.macys.com/is/image/MCY/12684180 </v>
      </c>
    </row>
    <row r="3" spans="1:12" ht="39.950000000000003" customHeight="1" x14ac:dyDescent="0.25">
      <c r="A3" s="6" t="s">
        <v>499</v>
      </c>
      <c r="B3" s="7" t="s">
        <v>500</v>
      </c>
      <c r="C3" s="8">
        <v>1</v>
      </c>
      <c r="D3" s="9">
        <v>229.99</v>
      </c>
      <c r="E3" s="8">
        <v>600723356001</v>
      </c>
      <c r="F3" s="7" t="s">
        <v>1560</v>
      </c>
      <c r="G3" s="10"/>
      <c r="H3" s="7" t="s">
        <v>2458</v>
      </c>
      <c r="I3" s="7" t="s">
        <v>2459</v>
      </c>
      <c r="J3" s="7" t="s">
        <v>1461</v>
      </c>
      <c r="K3" s="7" t="s">
        <v>1527</v>
      </c>
      <c r="L3" s="11" t="str">
        <f>HYPERLINK("http://slimages.macys.com/is/image/MCY/12684180 ")</f>
        <v xml:space="preserve">http://slimages.macys.com/is/image/MCY/12684180 </v>
      </c>
    </row>
    <row r="4" spans="1:12" ht="39.950000000000003" customHeight="1" x14ac:dyDescent="0.25">
      <c r="A4" s="6" t="s">
        <v>501</v>
      </c>
      <c r="B4" s="7" t="s">
        <v>502</v>
      </c>
      <c r="C4" s="8">
        <v>1</v>
      </c>
      <c r="D4" s="9">
        <v>186.99</v>
      </c>
      <c r="E4" s="8" t="s">
        <v>503</v>
      </c>
      <c r="F4" s="7" t="s">
        <v>2187</v>
      </c>
      <c r="G4" s="10"/>
      <c r="H4" s="7" t="s">
        <v>1664</v>
      </c>
      <c r="I4" s="7" t="s">
        <v>504</v>
      </c>
      <c r="J4" s="7" t="s">
        <v>1461</v>
      </c>
      <c r="K4" s="7" t="s">
        <v>1564</v>
      </c>
      <c r="L4" s="11" t="str">
        <f>HYPERLINK("http://slimages.macys.com/is/image/MCY/12888358 ")</f>
        <v xml:space="preserve">http://slimages.macys.com/is/image/MCY/12888358 </v>
      </c>
    </row>
    <row r="5" spans="1:12" ht="39.950000000000003" customHeight="1" x14ac:dyDescent="0.25">
      <c r="A5" s="6" t="s">
        <v>505</v>
      </c>
      <c r="B5" s="7" t="s">
        <v>506</v>
      </c>
      <c r="C5" s="8">
        <v>1</v>
      </c>
      <c r="D5" s="9">
        <v>179.99</v>
      </c>
      <c r="E5" s="8" t="s">
        <v>507</v>
      </c>
      <c r="F5" s="7" t="s">
        <v>1560</v>
      </c>
      <c r="G5" s="10"/>
      <c r="H5" s="7" t="s">
        <v>1664</v>
      </c>
      <c r="I5" s="7" t="s">
        <v>1521</v>
      </c>
      <c r="J5" s="7" t="s">
        <v>1461</v>
      </c>
      <c r="K5" s="7" t="s">
        <v>508</v>
      </c>
      <c r="L5" s="11" t="str">
        <f>HYPERLINK("http://slimages.macys.com/is/image/MCY/9627798 ")</f>
        <v xml:space="preserve">http://slimages.macys.com/is/image/MCY/9627798 </v>
      </c>
    </row>
    <row r="6" spans="1:12" ht="39.950000000000003" customHeight="1" x14ac:dyDescent="0.25">
      <c r="A6" s="6" t="s">
        <v>509</v>
      </c>
      <c r="B6" s="7" t="s">
        <v>510</v>
      </c>
      <c r="C6" s="8">
        <v>1</v>
      </c>
      <c r="D6" s="9">
        <v>105.99</v>
      </c>
      <c r="E6" s="8" t="s">
        <v>511</v>
      </c>
      <c r="F6" s="7" t="s">
        <v>1627</v>
      </c>
      <c r="G6" s="10"/>
      <c r="H6" s="7" t="s">
        <v>1506</v>
      </c>
      <c r="I6" s="7" t="s">
        <v>1521</v>
      </c>
      <c r="J6" s="7" t="s">
        <v>1461</v>
      </c>
      <c r="K6" s="7" t="s">
        <v>512</v>
      </c>
      <c r="L6" s="11" t="str">
        <f>HYPERLINK("http://slimages.macys.com/is/image/MCY/9798710 ")</f>
        <v xml:space="preserve">http://slimages.macys.com/is/image/MCY/9798710 </v>
      </c>
    </row>
    <row r="7" spans="1:12" ht="39.950000000000003" customHeight="1" x14ac:dyDescent="0.25">
      <c r="A7" s="6" t="s">
        <v>513</v>
      </c>
      <c r="B7" s="7" t="s">
        <v>514</v>
      </c>
      <c r="C7" s="8">
        <v>1</v>
      </c>
      <c r="D7" s="9">
        <v>179.99</v>
      </c>
      <c r="E7" s="8" t="s">
        <v>515</v>
      </c>
      <c r="F7" s="7" t="s">
        <v>1632</v>
      </c>
      <c r="G7" s="10"/>
      <c r="H7" s="7" t="s">
        <v>1467</v>
      </c>
      <c r="I7" s="7" t="s">
        <v>516</v>
      </c>
      <c r="J7" s="7" t="s">
        <v>1461</v>
      </c>
      <c r="K7" s="7" t="s">
        <v>517</v>
      </c>
      <c r="L7" s="11" t="str">
        <f>HYPERLINK("http://slimages.macys.com/is/image/MCY/12072107 ")</f>
        <v xml:space="preserve">http://slimages.macys.com/is/image/MCY/12072107 </v>
      </c>
    </row>
    <row r="8" spans="1:12" ht="39.950000000000003" customHeight="1" x14ac:dyDescent="0.25">
      <c r="A8" s="6" t="s">
        <v>518</v>
      </c>
      <c r="B8" s="7" t="s">
        <v>519</v>
      </c>
      <c r="C8" s="8">
        <v>1</v>
      </c>
      <c r="D8" s="9">
        <v>176.99</v>
      </c>
      <c r="E8" s="8" t="s">
        <v>520</v>
      </c>
      <c r="F8" s="7" t="s">
        <v>1560</v>
      </c>
      <c r="G8" s="10"/>
      <c r="H8" s="7" t="s">
        <v>1664</v>
      </c>
      <c r="I8" s="7" t="s">
        <v>1521</v>
      </c>
      <c r="J8" s="7" t="s">
        <v>1461</v>
      </c>
      <c r="K8" s="7" t="s">
        <v>521</v>
      </c>
      <c r="L8" s="11" t="str">
        <f>HYPERLINK("http://slimages.macys.com/is/image/MCY/12932714 ")</f>
        <v xml:space="preserve">http://slimages.macys.com/is/image/MCY/12932714 </v>
      </c>
    </row>
    <row r="9" spans="1:12" ht="39.950000000000003" customHeight="1" x14ac:dyDescent="0.25">
      <c r="A9" s="6" t="s">
        <v>522</v>
      </c>
      <c r="B9" s="7" t="s">
        <v>523</v>
      </c>
      <c r="C9" s="8">
        <v>2</v>
      </c>
      <c r="D9" s="9">
        <v>179.98</v>
      </c>
      <c r="E9" s="8" t="s">
        <v>524</v>
      </c>
      <c r="F9" s="7" t="s">
        <v>1458</v>
      </c>
      <c r="G9" s="10" t="s">
        <v>525</v>
      </c>
      <c r="H9" s="7" t="s">
        <v>1506</v>
      </c>
      <c r="I9" s="7" t="s">
        <v>1959</v>
      </c>
      <c r="J9" s="7" t="s">
        <v>1461</v>
      </c>
      <c r="K9" s="7" t="s">
        <v>1564</v>
      </c>
      <c r="L9" s="11" t="str">
        <f>HYPERLINK("http://slimages.macys.com/is/image/MCY/12225408 ")</f>
        <v xml:space="preserve">http://slimages.macys.com/is/image/MCY/12225408 </v>
      </c>
    </row>
    <row r="10" spans="1:12" ht="39.950000000000003" customHeight="1" x14ac:dyDescent="0.25">
      <c r="A10" s="6" t="s">
        <v>526</v>
      </c>
      <c r="B10" s="7" t="s">
        <v>527</v>
      </c>
      <c r="C10" s="8">
        <v>1</v>
      </c>
      <c r="D10" s="9">
        <v>118.99</v>
      </c>
      <c r="E10" s="8" t="s">
        <v>528</v>
      </c>
      <c r="F10" s="7" t="s">
        <v>1868</v>
      </c>
      <c r="G10" s="10"/>
      <c r="H10" s="7" t="s">
        <v>1506</v>
      </c>
      <c r="I10" s="7" t="s">
        <v>1959</v>
      </c>
      <c r="J10" s="7" t="s">
        <v>1461</v>
      </c>
      <c r="K10" s="7" t="s">
        <v>1564</v>
      </c>
      <c r="L10" s="11" t="str">
        <f>HYPERLINK("http://slimages.macys.com/is/image/MCY/12225408 ")</f>
        <v xml:space="preserve">http://slimages.macys.com/is/image/MCY/12225408 </v>
      </c>
    </row>
    <row r="11" spans="1:12" ht="39.950000000000003" customHeight="1" x14ac:dyDescent="0.25">
      <c r="A11" s="6" t="s">
        <v>529</v>
      </c>
      <c r="B11" s="7" t="s">
        <v>530</v>
      </c>
      <c r="C11" s="8">
        <v>1</v>
      </c>
      <c r="D11" s="9">
        <v>118.99</v>
      </c>
      <c r="E11" s="8" t="s">
        <v>531</v>
      </c>
      <c r="F11" s="7" t="s">
        <v>1745</v>
      </c>
      <c r="G11" s="10"/>
      <c r="H11" s="7" t="s">
        <v>1506</v>
      </c>
      <c r="I11" s="7" t="s">
        <v>1959</v>
      </c>
      <c r="J11" s="7" t="s">
        <v>1461</v>
      </c>
      <c r="K11" s="7" t="s">
        <v>1564</v>
      </c>
      <c r="L11" s="11" t="str">
        <f>HYPERLINK("http://slimages.macys.com/is/image/MCY/12225408 ")</f>
        <v xml:space="preserve">http://slimages.macys.com/is/image/MCY/12225408 </v>
      </c>
    </row>
    <row r="12" spans="1:12" ht="39.950000000000003" customHeight="1" x14ac:dyDescent="0.25">
      <c r="A12" s="6" t="s">
        <v>532</v>
      </c>
      <c r="B12" s="7" t="s">
        <v>533</v>
      </c>
      <c r="C12" s="8">
        <v>1</v>
      </c>
      <c r="D12" s="9">
        <v>89.99</v>
      </c>
      <c r="E12" s="8" t="s">
        <v>534</v>
      </c>
      <c r="F12" s="7" t="s">
        <v>1554</v>
      </c>
      <c r="G12" s="10"/>
      <c r="H12" s="7" t="s">
        <v>1506</v>
      </c>
      <c r="I12" s="7" t="s">
        <v>535</v>
      </c>
      <c r="J12" s="7" t="s">
        <v>1461</v>
      </c>
      <c r="K12" s="7" t="s">
        <v>1738</v>
      </c>
      <c r="L12" s="11" t="str">
        <f>HYPERLINK("http://slimages.macys.com/is/image/MCY/1200668 ")</f>
        <v xml:space="preserve">http://slimages.macys.com/is/image/MCY/1200668 </v>
      </c>
    </row>
    <row r="13" spans="1:12" ht="39.950000000000003" customHeight="1" x14ac:dyDescent="0.25">
      <c r="A13" s="6" t="s">
        <v>536</v>
      </c>
      <c r="B13" s="7" t="s">
        <v>537</v>
      </c>
      <c r="C13" s="8">
        <v>1</v>
      </c>
      <c r="D13" s="9">
        <v>66.989999999999995</v>
      </c>
      <c r="E13" s="8" t="s">
        <v>538</v>
      </c>
      <c r="F13" s="7" t="s">
        <v>1519</v>
      </c>
      <c r="G13" s="10"/>
      <c r="H13" s="7" t="s">
        <v>1506</v>
      </c>
      <c r="I13" s="7" t="s">
        <v>1521</v>
      </c>
      <c r="J13" s="7" t="s">
        <v>1461</v>
      </c>
      <c r="K13" s="7" t="s">
        <v>539</v>
      </c>
      <c r="L13" s="11" t="str">
        <f>HYPERLINK("http://slimages.macys.com/is/image/MCY/9775066 ")</f>
        <v xml:space="preserve">http://slimages.macys.com/is/image/MCY/9775066 </v>
      </c>
    </row>
    <row r="14" spans="1:12" ht="39.950000000000003" customHeight="1" x14ac:dyDescent="0.25">
      <c r="A14" s="6" t="s">
        <v>540</v>
      </c>
      <c r="B14" s="7" t="s">
        <v>541</v>
      </c>
      <c r="C14" s="8">
        <v>1</v>
      </c>
      <c r="D14" s="9">
        <v>149.99</v>
      </c>
      <c r="E14" s="8" t="s">
        <v>542</v>
      </c>
      <c r="F14" s="7" t="s">
        <v>1582</v>
      </c>
      <c r="G14" s="10" t="s">
        <v>543</v>
      </c>
      <c r="H14" s="7" t="s">
        <v>1483</v>
      </c>
      <c r="I14" s="7" t="s">
        <v>1501</v>
      </c>
      <c r="J14" s="7" t="s">
        <v>1461</v>
      </c>
      <c r="K14" s="7" t="s">
        <v>544</v>
      </c>
      <c r="L14" s="11" t="str">
        <f>HYPERLINK("http://slimages.macys.com/is/image/MCY/3273627 ")</f>
        <v xml:space="preserve">http://slimages.macys.com/is/image/MCY/3273627 </v>
      </c>
    </row>
    <row r="15" spans="1:12" ht="39.950000000000003" customHeight="1" x14ac:dyDescent="0.25">
      <c r="A15" s="6" t="s">
        <v>545</v>
      </c>
      <c r="B15" s="7" t="s">
        <v>546</v>
      </c>
      <c r="C15" s="8">
        <v>1</v>
      </c>
      <c r="D15" s="9">
        <v>79.989999999999995</v>
      </c>
      <c r="E15" s="8">
        <v>1001166600</v>
      </c>
      <c r="F15" s="7" t="s">
        <v>1458</v>
      </c>
      <c r="G15" s="10"/>
      <c r="H15" s="7" t="s">
        <v>547</v>
      </c>
      <c r="I15" s="7" t="s">
        <v>548</v>
      </c>
      <c r="J15" s="7" t="s">
        <v>1461</v>
      </c>
      <c r="K15" s="7"/>
      <c r="L15" s="11" t="str">
        <f>HYPERLINK("http://slimages.macys.com/is/image/MCY/9220469 ")</f>
        <v xml:space="preserve">http://slimages.macys.com/is/image/MCY/9220469 </v>
      </c>
    </row>
    <row r="16" spans="1:12" ht="39.950000000000003" customHeight="1" x14ac:dyDescent="0.25">
      <c r="A16" s="6" t="s">
        <v>549</v>
      </c>
      <c r="B16" s="7" t="s">
        <v>550</v>
      </c>
      <c r="C16" s="8">
        <v>1</v>
      </c>
      <c r="D16" s="9">
        <v>55.99</v>
      </c>
      <c r="E16" s="8" t="s">
        <v>551</v>
      </c>
      <c r="F16" s="7" t="s">
        <v>1519</v>
      </c>
      <c r="G16" s="10"/>
      <c r="H16" s="7" t="s">
        <v>1506</v>
      </c>
      <c r="I16" s="7" t="s">
        <v>1521</v>
      </c>
      <c r="J16" s="7" t="s">
        <v>1461</v>
      </c>
      <c r="K16" s="7" t="s">
        <v>1564</v>
      </c>
      <c r="L16" s="11" t="str">
        <f>HYPERLINK("http://slimages.macys.com/is/image/MCY/9775066 ")</f>
        <v xml:space="preserve">http://slimages.macys.com/is/image/MCY/9775066 </v>
      </c>
    </row>
    <row r="17" spans="1:12" ht="39.950000000000003" customHeight="1" x14ac:dyDescent="0.25">
      <c r="A17" s="6" t="s">
        <v>552</v>
      </c>
      <c r="B17" s="7" t="s">
        <v>553</v>
      </c>
      <c r="C17" s="8">
        <v>1</v>
      </c>
      <c r="D17" s="9">
        <v>59.99</v>
      </c>
      <c r="E17" s="8" t="s">
        <v>554</v>
      </c>
      <c r="F17" s="7" t="s">
        <v>1477</v>
      </c>
      <c r="G17" s="10"/>
      <c r="H17" s="7" t="s">
        <v>1506</v>
      </c>
      <c r="I17" s="7" t="s">
        <v>2236</v>
      </c>
      <c r="J17" s="7" t="s">
        <v>1461</v>
      </c>
      <c r="K17" s="7" t="s">
        <v>555</v>
      </c>
      <c r="L17" s="11" t="str">
        <f>HYPERLINK("http://slimages.macys.com/is/image/MCY/3148901 ")</f>
        <v xml:space="preserve">http://slimages.macys.com/is/image/MCY/3148901 </v>
      </c>
    </row>
    <row r="18" spans="1:12" ht="39.950000000000003" customHeight="1" x14ac:dyDescent="0.25">
      <c r="A18" s="6" t="s">
        <v>2218</v>
      </c>
      <c r="B18" s="7" t="s">
        <v>2219</v>
      </c>
      <c r="C18" s="8">
        <v>1</v>
      </c>
      <c r="D18" s="9">
        <v>39.99</v>
      </c>
      <c r="E18" s="8" t="s">
        <v>2220</v>
      </c>
      <c r="F18" s="7" t="s">
        <v>1560</v>
      </c>
      <c r="G18" s="10"/>
      <c r="H18" s="7" t="s">
        <v>1605</v>
      </c>
      <c r="I18" s="7" t="s">
        <v>1521</v>
      </c>
      <c r="J18" s="7" t="s">
        <v>1461</v>
      </c>
      <c r="K18" s="7" t="s">
        <v>1564</v>
      </c>
      <c r="L18" s="11" t="str">
        <f>HYPERLINK("http://slimages.macys.com/is/image/MCY/10082172 ")</f>
        <v xml:space="preserve">http://slimages.macys.com/is/image/MCY/10082172 </v>
      </c>
    </row>
    <row r="19" spans="1:12" ht="39.950000000000003" customHeight="1" x14ac:dyDescent="0.25">
      <c r="A19" s="6" t="s">
        <v>556</v>
      </c>
      <c r="B19" s="7" t="s">
        <v>557</v>
      </c>
      <c r="C19" s="8">
        <v>1</v>
      </c>
      <c r="D19" s="9">
        <v>52.99</v>
      </c>
      <c r="E19" s="8" t="s">
        <v>558</v>
      </c>
      <c r="F19" s="7" t="s">
        <v>1519</v>
      </c>
      <c r="G19" s="10" t="s">
        <v>1561</v>
      </c>
      <c r="H19" s="7" t="s">
        <v>1664</v>
      </c>
      <c r="I19" s="7" t="s">
        <v>1563</v>
      </c>
      <c r="J19" s="7" t="s">
        <v>1461</v>
      </c>
      <c r="K19" s="7" t="s">
        <v>1564</v>
      </c>
      <c r="L19" s="11" t="str">
        <f>HYPERLINK("http://slimages.macys.com/is/image/MCY/14748431 ")</f>
        <v xml:space="preserve">http://slimages.macys.com/is/image/MCY/14748431 </v>
      </c>
    </row>
    <row r="20" spans="1:12" ht="39.950000000000003" customHeight="1" x14ac:dyDescent="0.25">
      <c r="A20" s="6" t="s">
        <v>559</v>
      </c>
      <c r="B20" s="7" t="s">
        <v>560</v>
      </c>
      <c r="C20" s="8">
        <v>1</v>
      </c>
      <c r="D20" s="9">
        <v>38.99</v>
      </c>
      <c r="E20" s="8" t="s">
        <v>561</v>
      </c>
      <c r="F20" s="7" t="s">
        <v>1519</v>
      </c>
      <c r="G20" s="10"/>
      <c r="H20" s="7" t="s">
        <v>1506</v>
      </c>
      <c r="I20" s="7" t="s">
        <v>1521</v>
      </c>
      <c r="J20" s="7" t="s">
        <v>1461</v>
      </c>
      <c r="K20" s="7" t="s">
        <v>562</v>
      </c>
      <c r="L20" s="11" t="str">
        <f>HYPERLINK("http://slimages.macys.com/is/image/MCY/9310362 ")</f>
        <v xml:space="preserve">http://slimages.macys.com/is/image/MCY/9310362 </v>
      </c>
    </row>
    <row r="21" spans="1:12" ht="39.950000000000003" customHeight="1" x14ac:dyDescent="0.25">
      <c r="A21" s="6" t="s">
        <v>2230</v>
      </c>
      <c r="B21" s="7" t="s">
        <v>2231</v>
      </c>
      <c r="C21" s="8">
        <v>4</v>
      </c>
      <c r="D21" s="9">
        <v>159.96</v>
      </c>
      <c r="E21" s="8" t="s">
        <v>2232</v>
      </c>
      <c r="F21" s="7" t="s">
        <v>1458</v>
      </c>
      <c r="G21" s="10"/>
      <c r="H21" s="7" t="s">
        <v>1605</v>
      </c>
      <c r="I21" s="7" t="s">
        <v>1822</v>
      </c>
      <c r="J21" s="7"/>
      <c r="K21" s="7"/>
      <c r="L21" s="11" t="str">
        <f>HYPERLINK("http://slimages.macys.com/is/image/MCY/17725003 ")</f>
        <v xml:space="preserve">http://slimages.macys.com/is/image/MCY/17725003 </v>
      </c>
    </row>
    <row r="22" spans="1:12" ht="39.950000000000003" customHeight="1" x14ac:dyDescent="0.25">
      <c r="A22" s="6" t="s">
        <v>563</v>
      </c>
      <c r="B22" s="7" t="s">
        <v>564</v>
      </c>
      <c r="C22" s="8">
        <v>1</v>
      </c>
      <c r="D22" s="9">
        <v>39.99</v>
      </c>
      <c r="E22" s="8" t="s">
        <v>565</v>
      </c>
      <c r="F22" s="7" t="s">
        <v>1458</v>
      </c>
      <c r="G22" s="10"/>
      <c r="H22" s="7" t="s">
        <v>1605</v>
      </c>
      <c r="I22" s="7" t="s">
        <v>1959</v>
      </c>
      <c r="J22" s="7" t="s">
        <v>1461</v>
      </c>
      <c r="K22" s="7" t="s">
        <v>1564</v>
      </c>
      <c r="L22" s="11" t="str">
        <f>HYPERLINK("http://slimages.macys.com/is/image/MCY/10020553 ")</f>
        <v xml:space="preserve">http://slimages.macys.com/is/image/MCY/10020553 </v>
      </c>
    </row>
    <row r="23" spans="1:12" ht="39.950000000000003" customHeight="1" x14ac:dyDescent="0.25">
      <c r="A23" s="6" t="s">
        <v>566</v>
      </c>
      <c r="B23" s="7" t="s">
        <v>567</v>
      </c>
      <c r="C23" s="8">
        <v>1</v>
      </c>
      <c r="D23" s="9">
        <v>24.99</v>
      </c>
      <c r="E23" s="8" t="s">
        <v>568</v>
      </c>
      <c r="F23" s="7" t="s">
        <v>1762</v>
      </c>
      <c r="G23" s="10" t="s">
        <v>569</v>
      </c>
      <c r="H23" s="7" t="s">
        <v>1506</v>
      </c>
      <c r="I23" s="7" t="s">
        <v>570</v>
      </c>
      <c r="J23" s="7"/>
      <c r="K23" s="7"/>
      <c r="L23" s="11" t="str">
        <f>HYPERLINK("http://slimages.macys.com/is/image/MCY/16699823 ")</f>
        <v xml:space="preserve">http://slimages.macys.com/is/image/MCY/16699823 </v>
      </c>
    </row>
    <row r="24" spans="1:12" ht="39.950000000000003" customHeight="1" x14ac:dyDescent="0.25">
      <c r="A24" s="6" t="s">
        <v>571</v>
      </c>
      <c r="B24" s="7" t="s">
        <v>572</v>
      </c>
      <c r="C24" s="8">
        <v>1</v>
      </c>
      <c r="D24" s="9">
        <v>37.99</v>
      </c>
      <c r="E24" s="8" t="s">
        <v>573</v>
      </c>
      <c r="F24" s="7" t="s">
        <v>1519</v>
      </c>
      <c r="G24" s="10"/>
      <c r="H24" s="7" t="s">
        <v>1664</v>
      </c>
      <c r="I24" s="7" t="s">
        <v>1521</v>
      </c>
      <c r="J24" s="7" t="s">
        <v>1461</v>
      </c>
      <c r="K24" s="7" t="s">
        <v>574</v>
      </c>
      <c r="L24" s="11" t="str">
        <f>HYPERLINK("http://slimages.macys.com/is/image/MCY/9767690 ")</f>
        <v xml:space="preserve">http://slimages.macys.com/is/image/MCY/9767690 </v>
      </c>
    </row>
    <row r="25" spans="1:12" ht="39.950000000000003" customHeight="1" x14ac:dyDescent="0.25">
      <c r="A25" s="6" t="s">
        <v>575</v>
      </c>
      <c r="B25" s="7" t="s">
        <v>576</v>
      </c>
      <c r="C25" s="8">
        <v>1</v>
      </c>
      <c r="D25" s="9">
        <v>24.99</v>
      </c>
      <c r="E25" s="8" t="s">
        <v>577</v>
      </c>
      <c r="F25" s="7" t="s">
        <v>1554</v>
      </c>
      <c r="G25" s="10"/>
      <c r="H25" s="7" t="s">
        <v>1506</v>
      </c>
      <c r="I25" s="7" t="s">
        <v>1521</v>
      </c>
      <c r="J25" s="7" t="s">
        <v>1461</v>
      </c>
      <c r="K25" s="7"/>
      <c r="L25" s="11" t="str">
        <f>HYPERLINK("http://slimages.macys.com/is/image/MCY/9961874 ")</f>
        <v xml:space="preserve">http://slimages.macys.com/is/image/MCY/9961874 </v>
      </c>
    </row>
    <row r="26" spans="1:12" ht="39.950000000000003" customHeight="1" x14ac:dyDescent="0.25">
      <c r="A26" s="6" t="s">
        <v>578</v>
      </c>
      <c r="B26" s="7" t="s">
        <v>579</v>
      </c>
      <c r="C26" s="8">
        <v>2</v>
      </c>
      <c r="D26" s="9">
        <v>119.98</v>
      </c>
      <c r="E26" s="8" t="s">
        <v>580</v>
      </c>
      <c r="F26" s="7" t="s">
        <v>1458</v>
      </c>
      <c r="G26" s="10"/>
      <c r="H26" s="7" t="s">
        <v>1545</v>
      </c>
      <c r="I26" s="7" t="s">
        <v>1546</v>
      </c>
      <c r="J26" s="7"/>
      <c r="K26" s="7"/>
      <c r="L26" s="11" t="str">
        <f>HYPERLINK("http://slimages.macys.com/is/image/MCY/16633321 ")</f>
        <v xml:space="preserve">http://slimages.macys.com/is/image/MCY/16633321 </v>
      </c>
    </row>
    <row r="27" spans="1:12" ht="39.950000000000003" customHeight="1" x14ac:dyDescent="0.25">
      <c r="A27" s="6" t="s">
        <v>581</v>
      </c>
      <c r="B27" s="7" t="s">
        <v>582</v>
      </c>
      <c r="C27" s="8">
        <v>3</v>
      </c>
      <c r="D27" s="9">
        <v>179.97</v>
      </c>
      <c r="E27" s="8" t="s">
        <v>583</v>
      </c>
      <c r="F27" s="7" t="s">
        <v>1458</v>
      </c>
      <c r="G27" s="10"/>
      <c r="H27" s="7" t="s">
        <v>1545</v>
      </c>
      <c r="I27" s="7" t="s">
        <v>1546</v>
      </c>
      <c r="J27" s="7"/>
      <c r="K27" s="7"/>
      <c r="L27" s="11" t="str">
        <f>HYPERLINK("http://slimages.macys.com/is/image/MCY/16633322 ")</f>
        <v xml:space="preserve">http://slimages.macys.com/is/image/MCY/16633322 </v>
      </c>
    </row>
    <row r="28" spans="1:12" ht="39.950000000000003" customHeight="1" x14ac:dyDescent="0.25">
      <c r="A28" s="6" t="s">
        <v>584</v>
      </c>
      <c r="B28" s="7" t="s">
        <v>585</v>
      </c>
      <c r="C28" s="8">
        <v>3</v>
      </c>
      <c r="D28" s="9">
        <v>107.97</v>
      </c>
      <c r="E28" s="8" t="s">
        <v>586</v>
      </c>
      <c r="F28" s="7" t="s">
        <v>1745</v>
      </c>
      <c r="G28" s="10"/>
      <c r="H28" s="7" t="s">
        <v>1506</v>
      </c>
      <c r="I28" s="7" t="s">
        <v>2006</v>
      </c>
      <c r="J28" s="7" t="s">
        <v>1461</v>
      </c>
      <c r="K28" s="7" t="s">
        <v>1729</v>
      </c>
      <c r="L28" s="11" t="str">
        <f>HYPERLINK("http://slimages.macys.com/is/image/MCY/12265056 ")</f>
        <v xml:space="preserve">http://slimages.macys.com/is/image/MCY/12265056 </v>
      </c>
    </row>
    <row r="29" spans="1:12" ht="39.950000000000003" customHeight="1" x14ac:dyDescent="0.25">
      <c r="A29" s="6" t="s">
        <v>587</v>
      </c>
      <c r="B29" s="7" t="s">
        <v>588</v>
      </c>
      <c r="C29" s="8">
        <v>1</v>
      </c>
      <c r="D29" s="9">
        <v>17.989999999999998</v>
      </c>
      <c r="E29" s="8" t="s">
        <v>589</v>
      </c>
      <c r="F29" s="7" t="s">
        <v>590</v>
      </c>
      <c r="G29" s="10" t="s">
        <v>1577</v>
      </c>
      <c r="H29" s="7" t="s">
        <v>1628</v>
      </c>
      <c r="I29" s="7" t="s">
        <v>591</v>
      </c>
      <c r="J29" s="7" t="s">
        <v>1461</v>
      </c>
      <c r="K29" s="7" t="s">
        <v>1623</v>
      </c>
      <c r="L29" s="11" t="str">
        <f>HYPERLINK("http://slimages.macys.com/is/image/MCY/11857642 ")</f>
        <v xml:space="preserve">http://slimages.macys.com/is/image/MCY/11857642 </v>
      </c>
    </row>
    <row r="30" spans="1:12" ht="39.950000000000003" customHeight="1" x14ac:dyDescent="0.25">
      <c r="A30" s="6" t="s">
        <v>592</v>
      </c>
      <c r="B30" s="7" t="s">
        <v>593</v>
      </c>
      <c r="C30" s="8">
        <v>1</v>
      </c>
      <c r="D30" s="9">
        <v>24.99</v>
      </c>
      <c r="E30" s="8" t="s">
        <v>594</v>
      </c>
      <c r="F30" s="7" t="s">
        <v>1651</v>
      </c>
      <c r="G30" s="10" t="s">
        <v>2204</v>
      </c>
      <c r="H30" s="7" t="s">
        <v>1664</v>
      </c>
      <c r="I30" s="7" t="s">
        <v>2152</v>
      </c>
      <c r="J30" s="7" t="s">
        <v>1461</v>
      </c>
      <c r="K30" s="7"/>
      <c r="L30" s="11" t="str">
        <f>HYPERLINK("http://slimages.macys.com/is/image/MCY/8964606 ")</f>
        <v xml:space="preserve">http://slimages.macys.com/is/image/MCY/8964606 </v>
      </c>
    </row>
    <row r="31" spans="1:12" ht="39.950000000000003" customHeight="1" x14ac:dyDescent="0.25">
      <c r="A31" s="6" t="s">
        <v>595</v>
      </c>
      <c r="B31" s="7" t="s">
        <v>596</v>
      </c>
      <c r="C31" s="8">
        <v>2</v>
      </c>
      <c r="D31" s="9">
        <v>49.98</v>
      </c>
      <c r="E31" s="8" t="s">
        <v>597</v>
      </c>
      <c r="F31" s="7" t="s">
        <v>598</v>
      </c>
      <c r="G31" s="10"/>
      <c r="H31" s="7" t="s">
        <v>1506</v>
      </c>
      <c r="I31" s="7" t="s">
        <v>1728</v>
      </c>
      <c r="J31" s="7" t="s">
        <v>1461</v>
      </c>
      <c r="K31" s="7" t="s">
        <v>1564</v>
      </c>
      <c r="L31" s="11" t="str">
        <f>HYPERLINK("http://slimages.macys.com/is/image/MCY/11685195 ")</f>
        <v xml:space="preserve">http://slimages.macys.com/is/image/MCY/11685195 </v>
      </c>
    </row>
    <row r="32" spans="1:12" ht="39.950000000000003" customHeight="1" x14ac:dyDescent="0.25">
      <c r="A32" s="6" t="s">
        <v>599</v>
      </c>
      <c r="B32" s="7" t="s">
        <v>600</v>
      </c>
      <c r="C32" s="8">
        <v>1</v>
      </c>
      <c r="D32" s="9">
        <v>24.99</v>
      </c>
      <c r="E32" s="8" t="s">
        <v>601</v>
      </c>
      <c r="F32" s="7" t="s">
        <v>602</v>
      </c>
      <c r="G32" s="10"/>
      <c r="H32" s="7" t="s">
        <v>1506</v>
      </c>
      <c r="I32" s="7" t="s">
        <v>1728</v>
      </c>
      <c r="J32" s="7" t="s">
        <v>1461</v>
      </c>
      <c r="K32" s="7" t="s">
        <v>1564</v>
      </c>
      <c r="L32" s="11" t="str">
        <f>HYPERLINK("http://slimages.macys.com/is/image/MCY/11685195 ")</f>
        <v xml:space="preserve">http://slimages.macys.com/is/image/MCY/11685195 </v>
      </c>
    </row>
    <row r="33" spans="1:12" ht="39.950000000000003" customHeight="1" x14ac:dyDescent="0.25">
      <c r="A33" s="6" t="s">
        <v>603</v>
      </c>
      <c r="B33" s="7" t="s">
        <v>604</v>
      </c>
      <c r="C33" s="8">
        <v>1</v>
      </c>
      <c r="D33" s="9">
        <v>18.989999999999998</v>
      </c>
      <c r="E33" s="8">
        <v>703444</v>
      </c>
      <c r="F33" s="7" t="s">
        <v>1495</v>
      </c>
      <c r="G33" s="10"/>
      <c r="H33" s="7" t="s">
        <v>1506</v>
      </c>
      <c r="I33" s="7" t="s">
        <v>605</v>
      </c>
      <c r="J33" s="7" t="s">
        <v>1461</v>
      </c>
      <c r="K33" s="7" t="s">
        <v>1564</v>
      </c>
      <c r="L33" s="11" t="str">
        <f>HYPERLINK("http://slimages.macys.com/is/image/MCY/821775 ")</f>
        <v xml:space="preserve">http://slimages.macys.com/is/image/MCY/821775 </v>
      </c>
    </row>
    <row r="34" spans="1:12" ht="39.950000000000003" customHeight="1" x14ac:dyDescent="0.25">
      <c r="A34" s="6" t="s">
        <v>606</v>
      </c>
      <c r="B34" s="7" t="s">
        <v>607</v>
      </c>
      <c r="C34" s="8">
        <v>1</v>
      </c>
      <c r="D34" s="9">
        <v>14.99</v>
      </c>
      <c r="E34" s="8" t="s">
        <v>608</v>
      </c>
      <c r="F34" s="7" t="s">
        <v>2010</v>
      </c>
      <c r="G34" s="10"/>
      <c r="H34" s="7" t="s">
        <v>1506</v>
      </c>
      <c r="I34" s="7" t="s">
        <v>1583</v>
      </c>
      <c r="J34" s="7" t="s">
        <v>1461</v>
      </c>
      <c r="K34" s="7" t="s">
        <v>1564</v>
      </c>
      <c r="L34" s="11" t="str">
        <f>HYPERLINK("http://slimages.macys.com/is/image/MCY/9058123 ")</f>
        <v xml:space="preserve">http://slimages.macys.com/is/image/MCY/9058123 </v>
      </c>
    </row>
    <row r="35" spans="1:12" ht="39.950000000000003" customHeight="1" x14ac:dyDescent="0.25">
      <c r="A35" s="6" t="s">
        <v>609</v>
      </c>
      <c r="B35" s="7" t="s">
        <v>610</v>
      </c>
      <c r="C35" s="8">
        <v>2</v>
      </c>
      <c r="D35" s="9">
        <v>59.98</v>
      </c>
      <c r="E35" s="8" t="s">
        <v>611</v>
      </c>
      <c r="F35" s="7" t="s">
        <v>1637</v>
      </c>
      <c r="G35" s="10"/>
      <c r="H35" s="7" t="s">
        <v>1545</v>
      </c>
      <c r="I35" s="7" t="s">
        <v>1546</v>
      </c>
      <c r="J35" s="7" t="s">
        <v>1461</v>
      </c>
      <c r="K35" s="7"/>
      <c r="L35" s="11" t="str">
        <f>HYPERLINK("http://slimages.macys.com/is/image/MCY/16537026 ")</f>
        <v xml:space="preserve">http://slimages.macys.com/is/image/MCY/16537026 </v>
      </c>
    </row>
    <row r="36" spans="1:12" ht="39.950000000000003" customHeight="1" x14ac:dyDescent="0.25">
      <c r="A36" s="6" t="s">
        <v>612</v>
      </c>
      <c r="B36" s="7" t="s">
        <v>613</v>
      </c>
      <c r="C36" s="8">
        <v>1</v>
      </c>
      <c r="D36" s="9">
        <v>22.99</v>
      </c>
      <c r="E36" s="8" t="s">
        <v>614</v>
      </c>
      <c r="F36" s="7" t="s">
        <v>1458</v>
      </c>
      <c r="G36" s="10"/>
      <c r="H36" s="7" t="s">
        <v>1664</v>
      </c>
      <c r="I36" s="7" t="s">
        <v>615</v>
      </c>
      <c r="J36" s="7" t="s">
        <v>1461</v>
      </c>
      <c r="K36" s="7" t="s">
        <v>1564</v>
      </c>
      <c r="L36" s="11" t="str">
        <f>HYPERLINK("http://slimages.macys.com/is/image/MCY/10182060 ")</f>
        <v xml:space="preserve">http://slimages.macys.com/is/image/MCY/10182060 </v>
      </c>
    </row>
    <row r="37" spans="1:12" ht="39.950000000000003" customHeight="1" x14ac:dyDescent="0.25">
      <c r="A37" s="6" t="s">
        <v>616</v>
      </c>
      <c r="B37" s="7" t="s">
        <v>617</v>
      </c>
      <c r="C37" s="8">
        <v>1</v>
      </c>
      <c r="D37" s="9">
        <v>18.989999999999998</v>
      </c>
      <c r="E37" s="8">
        <v>10261</v>
      </c>
      <c r="F37" s="7" t="s">
        <v>1877</v>
      </c>
      <c r="G37" s="10" t="s">
        <v>2241</v>
      </c>
      <c r="H37" s="7" t="s">
        <v>1506</v>
      </c>
      <c r="I37" s="7" t="s">
        <v>2269</v>
      </c>
      <c r="J37" s="7" t="s">
        <v>1461</v>
      </c>
      <c r="K37" s="7" t="s">
        <v>1564</v>
      </c>
      <c r="L37" s="11" t="str">
        <f>HYPERLINK("http://slimages.macys.com/is/image/MCY/11837428 ")</f>
        <v xml:space="preserve">http://slimages.macys.com/is/image/MCY/11837428 </v>
      </c>
    </row>
    <row r="38" spans="1:12" ht="39.950000000000003" customHeight="1" x14ac:dyDescent="0.25">
      <c r="A38" s="6" t="s">
        <v>618</v>
      </c>
      <c r="B38" s="7" t="s">
        <v>619</v>
      </c>
      <c r="C38" s="8">
        <v>2</v>
      </c>
      <c r="D38" s="9">
        <v>59.98</v>
      </c>
      <c r="E38" s="8" t="s">
        <v>620</v>
      </c>
      <c r="F38" s="7" t="s">
        <v>1560</v>
      </c>
      <c r="G38" s="10"/>
      <c r="H38" s="7" t="s">
        <v>1545</v>
      </c>
      <c r="I38" s="7" t="s">
        <v>1546</v>
      </c>
      <c r="J38" s="7" t="s">
        <v>1461</v>
      </c>
      <c r="K38" s="7"/>
      <c r="L38" s="11" t="str">
        <f>HYPERLINK("http://slimages.macys.com/is/image/MCY/16633330 ")</f>
        <v xml:space="preserve">http://slimages.macys.com/is/image/MCY/16633330 </v>
      </c>
    </row>
    <row r="39" spans="1:12" ht="39.950000000000003" customHeight="1" x14ac:dyDescent="0.25">
      <c r="A39" s="6" t="s">
        <v>2296</v>
      </c>
      <c r="B39" s="7" t="s">
        <v>2297</v>
      </c>
      <c r="C39" s="8">
        <v>1</v>
      </c>
      <c r="D39" s="9">
        <v>29.99</v>
      </c>
      <c r="E39" s="8" t="s">
        <v>2298</v>
      </c>
      <c r="F39" s="7" t="s">
        <v>1519</v>
      </c>
      <c r="G39" s="10"/>
      <c r="H39" s="7" t="s">
        <v>1550</v>
      </c>
      <c r="I39" s="7" t="s">
        <v>1790</v>
      </c>
      <c r="J39" s="7" t="s">
        <v>1461</v>
      </c>
      <c r="K39" s="7"/>
      <c r="L39" s="11" t="str">
        <f>HYPERLINK("http://slimages.macys.com/is/image/MCY/14725222 ")</f>
        <v xml:space="preserve">http://slimages.macys.com/is/image/MCY/14725222 </v>
      </c>
    </row>
    <row r="40" spans="1:12" ht="39.950000000000003" customHeight="1" x14ac:dyDescent="0.25">
      <c r="A40" s="6" t="s">
        <v>621</v>
      </c>
      <c r="B40" s="7" t="s">
        <v>622</v>
      </c>
      <c r="C40" s="8">
        <v>1</v>
      </c>
      <c r="D40" s="9">
        <v>29.99</v>
      </c>
      <c r="E40" s="8" t="s">
        <v>623</v>
      </c>
      <c r="F40" s="7" t="s">
        <v>1560</v>
      </c>
      <c r="G40" s="10"/>
      <c r="H40" s="7" t="s">
        <v>547</v>
      </c>
      <c r="I40" s="7" t="s">
        <v>548</v>
      </c>
      <c r="J40" s="7" t="s">
        <v>1461</v>
      </c>
      <c r="K40" s="7"/>
      <c r="L40" s="11" t="str">
        <f>HYPERLINK("http://slimages.macys.com/is/image/MCY/9396664 ")</f>
        <v xml:space="preserve">http://slimages.macys.com/is/image/MCY/9396664 </v>
      </c>
    </row>
    <row r="41" spans="1:12" ht="39.950000000000003" customHeight="1" x14ac:dyDescent="0.25">
      <c r="A41" s="6" t="s">
        <v>624</v>
      </c>
      <c r="B41" s="7" t="s">
        <v>625</v>
      </c>
      <c r="C41" s="8">
        <v>1</v>
      </c>
      <c r="D41" s="9">
        <v>11.99</v>
      </c>
      <c r="E41" s="8" t="s">
        <v>626</v>
      </c>
      <c r="F41" s="7" t="s">
        <v>1554</v>
      </c>
      <c r="G41" s="10"/>
      <c r="H41" s="7" t="s">
        <v>1506</v>
      </c>
      <c r="I41" s="7" t="s">
        <v>605</v>
      </c>
      <c r="J41" s="7" t="s">
        <v>1461</v>
      </c>
      <c r="K41" s="7" t="s">
        <v>1564</v>
      </c>
      <c r="L41" s="11" t="str">
        <f>HYPERLINK("http://slimages.macys.com/is/image/MCY/935272 ")</f>
        <v xml:space="preserve">http://slimages.macys.com/is/image/MCY/935272 </v>
      </c>
    </row>
    <row r="42" spans="1:12" ht="39.950000000000003" customHeight="1" x14ac:dyDescent="0.25">
      <c r="A42" s="6" t="s">
        <v>627</v>
      </c>
      <c r="B42" s="7" t="s">
        <v>628</v>
      </c>
      <c r="C42" s="8">
        <v>1</v>
      </c>
      <c r="D42" s="9">
        <v>9.99</v>
      </c>
      <c r="E42" s="8" t="s">
        <v>629</v>
      </c>
      <c r="F42" s="7" t="s">
        <v>1458</v>
      </c>
      <c r="G42" s="10"/>
      <c r="H42" s="7" t="s">
        <v>1664</v>
      </c>
      <c r="I42" s="7" t="s">
        <v>1521</v>
      </c>
      <c r="J42" s="7" t="s">
        <v>1461</v>
      </c>
      <c r="K42" s="7" t="s">
        <v>630</v>
      </c>
      <c r="L42" s="11" t="str">
        <f>HYPERLINK("http://slimages.macys.com/is/image/MCY/15503039 ")</f>
        <v xml:space="preserve">http://slimages.macys.com/is/image/MCY/15503039 </v>
      </c>
    </row>
    <row r="43" spans="1:12" ht="39.950000000000003" customHeight="1" x14ac:dyDescent="0.25">
      <c r="A43" s="6" t="s">
        <v>631</v>
      </c>
      <c r="B43" s="7" t="s">
        <v>632</v>
      </c>
      <c r="C43" s="8">
        <v>1</v>
      </c>
      <c r="D43" s="9">
        <v>8.99</v>
      </c>
      <c r="E43" s="8" t="s">
        <v>633</v>
      </c>
      <c r="F43" s="7" t="s">
        <v>1627</v>
      </c>
      <c r="G43" s="10" t="s">
        <v>1644</v>
      </c>
      <c r="H43" s="7" t="s">
        <v>1628</v>
      </c>
      <c r="I43" s="7" t="s">
        <v>634</v>
      </c>
      <c r="J43" s="7" t="s">
        <v>1461</v>
      </c>
      <c r="K43" s="7" t="s">
        <v>635</v>
      </c>
      <c r="L43" s="11" t="str">
        <f>HYPERLINK("http://slimages.macys.com/is/image/MCY/10625741 ")</f>
        <v xml:space="preserve">http://slimages.macys.com/is/image/MCY/10625741 </v>
      </c>
    </row>
    <row r="44" spans="1:12" ht="39.950000000000003" customHeight="1" x14ac:dyDescent="0.25">
      <c r="A44" s="6" t="s">
        <v>636</v>
      </c>
      <c r="B44" s="7" t="s">
        <v>637</v>
      </c>
      <c r="C44" s="8">
        <v>1</v>
      </c>
      <c r="D44" s="9">
        <v>6.99</v>
      </c>
      <c r="E44" s="8" t="s">
        <v>638</v>
      </c>
      <c r="F44" s="7" t="s">
        <v>1632</v>
      </c>
      <c r="G44" s="10" t="s">
        <v>1648</v>
      </c>
      <c r="H44" s="7" t="s">
        <v>1628</v>
      </c>
      <c r="I44" s="7" t="s">
        <v>639</v>
      </c>
      <c r="J44" s="7" t="s">
        <v>1461</v>
      </c>
      <c r="K44" s="7" t="s">
        <v>1623</v>
      </c>
      <c r="L44" s="11" t="str">
        <f>HYPERLINK("http://slimages.macys.com/is/image/MCY/11436197 ")</f>
        <v xml:space="preserve">http://slimages.macys.com/is/image/MCY/11436197 </v>
      </c>
    </row>
    <row r="45" spans="1:12" ht="39.950000000000003" customHeight="1" x14ac:dyDescent="0.25">
      <c r="A45" s="6" t="s">
        <v>640</v>
      </c>
      <c r="B45" s="7" t="s">
        <v>641</v>
      </c>
      <c r="C45" s="8">
        <v>1</v>
      </c>
      <c r="D45" s="9">
        <v>5.99</v>
      </c>
      <c r="E45" s="8" t="s">
        <v>642</v>
      </c>
      <c r="F45" s="7" t="s">
        <v>2044</v>
      </c>
      <c r="G45" s="10" t="s">
        <v>1644</v>
      </c>
      <c r="H45" s="7" t="s">
        <v>1628</v>
      </c>
      <c r="I45" s="7" t="s">
        <v>1799</v>
      </c>
      <c r="J45" s="7" t="s">
        <v>1461</v>
      </c>
      <c r="K45" s="7" t="s">
        <v>1527</v>
      </c>
      <c r="L45" s="11" t="str">
        <f>HYPERLINK("http://slimages.macys.com/is/image/MCY/11925396 ")</f>
        <v xml:space="preserve">http://slimages.macys.com/is/image/MCY/11925396 </v>
      </c>
    </row>
    <row r="46" spans="1:12" ht="39.950000000000003" customHeight="1" x14ac:dyDescent="0.25">
      <c r="A46" s="6" t="s">
        <v>643</v>
      </c>
      <c r="B46" s="7" t="s">
        <v>644</v>
      </c>
      <c r="C46" s="8">
        <v>1</v>
      </c>
      <c r="D46" s="9">
        <v>9.99</v>
      </c>
      <c r="E46" s="8" t="s">
        <v>1643</v>
      </c>
      <c r="F46" s="7" t="s">
        <v>1505</v>
      </c>
      <c r="G46" s="10" t="s">
        <v>1644</v>
      </c>
      <c r="H46" s="7" t="s">
        <v>1578</v>
      </c>
      <c r="I46" s="7" t="s">
        <v>1617</v>
      </c>
      <c r="J46" s="7" t="s">
        <v>1461</v>
      </c>
      <c r="K46" s="7"/>
      <c r="L46" s="11" t="str">
        <f>HYPERLINK("http://slimages.macys.com/is/image/MCY/12067377 ")</f>
        <v xml:space="preserve">http://slimages.macys.com/is/image/MCY/12067377 </v>
      </c>
    </row>
    <row r="47" spans="1:12" ht="39.950000000000003" customHeight="1" x14ac:dyDescent="0.25">
      <c r="A47" s="6" t="s">
        <v>645</v>
      </c>
      <c r="B47" s="7" t="s">
        <v>646</v>
      </c>
      <c r="C47" s="8">
        <v>2</v>
      </c>
      <c r="D47" s="9">
        <v>15.98</v>
      </c>
      <c r="E47" s="8">
        <v>1006327300</v>
      </c>
      <c r="F47" s="7" t="s">
        <v>1482</v>
      </c>
      <c r="G47" s="10" t="s">
        <v>1648</v>
      </c>
      <c r="H47" s="7" t="s">
        <v>1578</v>
      </c>
      <c r="I47" s="7" t="s">
        <v>1579</v>
      </c>
      <c r="J47" s="7" t="s">
        <v>1461</v>
      </c>
      <c r="K47" s="7" t="s">
        <v>1623</v>
      </c>
      <c r="L47" s="11" t="str">
        <f>HYPERLINK("http://slimages.macys.com/is/image/MCY/13893905 ")</f>
        <v xml:space="preserve">http://slimages.macys.com/is/image/MCY/13893905 </v>
      </c>
    </row>
    <row r="48" spans="1:12" ht="39.950000000000003" customHeight="1" x14ac:dyDescent="0.25">
      <c r="A48" s="6" t="s">
        <v>647</v>
      </c>
      <c r="B48" s="7" t="s">
        <v>648</v>
      </c>
      <c r="C48" s="8">
        <v>1</v>
      </c>
      <c r="D48" s="9">
        <v>5.99</v>
      </c>
      <c r="E48" s="8" t="s">
        <v>649</v>
      </c>
      <c r="F48" s="7" t="s">
        <v>1711</v>
      </c>
      <c r="G48" s="10" t="s">
        <v>1644</v>
      </c>
      <c r="H48" s="7" t="s">
        <v>1628</v>
      </c>
      <c r="I48" s="7" t="s">
        <v>1629</v>
      </c>
      <c r="J48" s="7" t="s">
        <v>1461</v>
      </c>
      <c r="K48" s="7" t="s">
        <v>2018</v>
      </c>
      <c r="L48" s="11" t="str">
        <f>HYPERLINK("http://slimages.macys.com/is/image/MCY/13683754 ")</f>
        <v xml:space="preserve">http://slimages.macys.com/is/image/MCY/13683754 </v>
      </c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650</v>
      </c>
      <c r="B2" s="7" t="s">
        <v>651</v>
      </c>
      <c r="C2" s="8">
        <v>1</v>
      </c>
      <c r="D2" s="9">
        <v>143.99</v>
      </c>
      <c r="E2" s="8" t="s">
        <v>652</v>
      </c>
      <c r="F2" s="7" t="s">
        <v>1554</v>
      </c>
      <c r="G2" s="10"/>
      <c r="H2" s="7" t="s">
        <v>1506</v>
      </c>
      <c r="I2" s="7" t="s">
        <v>1521</v>
      </c>
      <c r="J2" s="7" t="s">
        <v>1461</v>
      </c>
      <c r="K2" s="7" t="s">
        <v>653</v>
      </c>
      <c r="L2" s="11" t="str">
        <f>HYPERLINK("http://slimages.macys.com/is/image/MCY/12290540 ")</f>
        <v xml:space="preserve">http://slimages.macys.com/is/image/MCY/12290540 </v>
      </c>
    </row>
    <row r="3" spans="1:12" ht="39.950000000000003" customHeight="1" x14ac:dyDescent="0.25">
      <c r="A3" s="6" t="s">
        <v>654</v>
      </c>
      <c r="B3" s="7" t="s">
        <v>655</v>
      </c>
      <c r="C3" s="8">
        <v>1</v>
      </c>
      <c r="D3" s="9">
        <v>96.77</v>
      </c>
      <c r="E3" s="8" t="s">
        <v>656</v>
      </c>
      <c r="F3" s="7" t="s">
        <v>1632</v>
      </c>
      <c r="G3" s="10"/>
      <c r="H3" s="7" t="s">
        <v>1664</v>
      </c>
      <c r="I3" s="7" t="s">
        <v>1521</v>
      </c>
      <c r="J3" s="7"/>
      <c r="K3" s="7"/>
      <c r="L3" s="11" t="str">
        <f>HYPERLINK("http://slimages.macys.com/is/image/MCY/17561766 ")</f>
        <v xml:space="preserve">http://slimages.macys.com/is/image/MCY/17561766 </v>
      </c>
    </row>
    <row r="4" spans="1:12" ht="39.950000000000003" customHeight="1" x14ac:dyDescent="0.25">
      <c r="A4" s="6" t="s">
        <v>657</v>
      </c>
      <c r="B4" s="7" t="s">
        <v>658</v>
      </c>
      <c r="C4" s="8">
        <v>1</v>
      </c>
      <c r="D4" s="9">
        <v>159.99</v>
      </c>
      <c r="E4" s="8" t="s">
        <v>659</v>
      </c>
      <c r="F4" s="7" t="s">
        <v>1587</v>
      </c>
      <c r="G4" s="10"/>
      <c r="H4" s="7" t="s">
        <v>1664</v>
      </c>
      <c r="I4" s="7" t="s">
        <v>1521</v>
      </c>
      <c r="J4" s="7" t="s">
        <v>1461</v>
      </c>
      <c r="K4" s="7" t="s">
        <v>660</v>
      </c>
      <c r="L4" s="11" t="str">
        <f>HYPERLINK("http://slimages.macys.com/is/image/MCY/9627789 ")</f>
        <v xml:space="preserve">http://slimages.macys.com/is/image/MCY/9627789 </v>
      </c>
    </row>
    <row r="5" spans="1:12" ht="39.950000000000003" customHeight="1" x14ac:dyDescent="0.25">
      <c r="A5" s="6" t="s">
        <v>661</v>
      </c>
      <c r="B5" s="7" t="s">
        <v>662</v>
      </c>
      <c r="C5" s="8">
        <v>1</v>
      </c>
      <c r="D5" s="9">
        <v>149.99</v>
      </c>
      <c r="E5" s="8" t="s">
        <v>663</v>
      </c>
      <c r="F5" s="7" t="s">
        <v>1560</v>
      </c>
      <c r="G5" s="10"/>
      <c r="H5" s="7" t="s">
        <v>1664</v>
      </c>
      <c r="I5" s="7" t="s">
        <v>1521</v>
      </c>
      <c r="J5" s="7" t="s">
        <v>1461</v>
      </c>
      <c r="K5" s="7" t="s">
        <v>508</v>
      </c>
      <c r="L5" s="11" t="str">
        <f>HYPERLINK("http://slimages.macys.com/is/image/MCY/9627798 ")</f>
        <v xml:space="preserve">http://slimages.macys.com/is/image/MCY/9627798 </v>
      </c>
    </row>
    <row r="6" spans="1:12" ht="39.950000000000003" customHeight="1" x14ac:dyDescent="0.25">
      <c r="A6" s="6" t="s">
        <v>664</v>
      </c>
      <c r="B6" s="7" t="s">
        <v>665</v>
      </c>
      <c r="C6" s="8">
        <v>1</v>
      </c>
      <c r="D6" s="9">
        <v>112.99</v>
      </c>
      <c r="E6" s="8" t="s">
        <v>666</v>
      </c>
      <c r="F6" s="7" t="s">
        <v>1458</v>
      </c>
      <c r="G6" s="10"/>
      <c r="H6" s="7" t="s">
        <v>1664</v>
      </c>
      <c r="I6" s="7" t="s">
        <v>1521</v>
      </c>
      <c r="J6" s="7" t="s">
        <v>1461</v>
      </c>
      <c r="K6" s="7" t="s">
        <v>667</v>
      </c>
      <c r="L6" s="11" t="str">
        <f>HYPERLINK("http://slimages.macys.com/is/image/MCY/12933565 ")</f>
        <v xml:space="preserve">http://slimages.macys.com/is/image/MCY/12933565 </v>
      </c>
    </row>
    <row r="7" spans="1:12" ht="39.950000000000003" customHeight="1" x14ac:dyDescent="0.25">
      <c r="A7" s="6" t="s">
        <v>668</v>
      </c>
      <c r="B7" s="7" t="s">
        <v>669</v>
      </c>
      <c r="C7" s="8">
        <v>1</v>
      </c>
      <c r="D7" s="9">
        <v>74.989999999999995</v>
      </c>
      <c r="E7" s="8" t="s">
        <v>670</v>
      </c>
      <c r="F7" s="7" t="s">
        <v>1554</v>
      </c>
      <c r="G7" s="10"/>
      <c r="H7" s="7" t="s">
        <v>1664</v>
      </c>
      <c r="I7" s="7" t="s">
        <v>1521</v>
      </c>
      <c r="J7" s="7" t="s">
        <v>1461</v>
      </c>
      <c r="K7" s="7" t="s">
        <v>1716</v>
      </c>
      <c r="L7" s="11" t="str">
        <f>HYPERLINK("http://slimages.macys.com/is/image/MCY/9767711 ")</f>
        <v xml:space="preserve">http://slimages.macys.com/is/image/MCY/9767711 </v>
      </c>
    </row>
    <row r="8" spans="1:12" ht="39.950000000000003" customHeight="1" x14ac:dyDescent="0.25">
      <c r="A8" s="6" t="s">
        <v>671</v>
      </c>
      <c r="B8" s="7" t="s">
        <v>672</v>
      </c>
      <c r="C8" s="8">
        <v>1</v>
      </c>
      <c r="D8" s="9">
        <v>94.99</v>
      </c>
      <c r="E8" s="8" t="s">
        <v>673</v>
      </c>
      <c r="F8" s="7" t="s">
        <v>1637</v>
      </c>
      <c r="G8" s="10"/>
      <c r="H8" s="7" t="s">
        <v>1664</v>
      </c>
      <c r="I8" s="7" t="s">
        <v>2321</v>
      </c>
      <c r="J8" s="7" t="s">
        <v>1461</v>
      </c>
      <c r="K8" s="7" t="s">
        <v>674</v>
      </c>
      <c r="L8" s="11" t="str">
        <f>HYPERLINK("http://slimages.macys.com/is/image/MCY/10143520 ")</f>
        <v xml:space="preserve">http://slimages.macys.com/is/image/MCY/10143520 </v>
      </c>
    </row>
    <row r="9" spans="1:12" ht="39.950000000000003" customHeight="1" x14ac:dyDescent="0.25">
      <c r="A9" s="6" t="s">
        <v>675</v>
      </c>
      <c r="B9" s="7" t="s">
        <v>676</v>
      </c>
      <c r="C9" s="8">
        <v>1</v>
      </c>
      <c r="D9" s="9">
        <v>49.99</v>
      </c>
      <c r="E9" s="8" t="s">
        <v>677</v>
      </c>
      <c r="F9" s="7" t="s">
        <v>1519</v>
      </c>
      <c r="G9" s="10"/>
      <c r="H9" s="7" t="s">
        <v>1506</v>
      </c>
      <c r="I9" s="7" t="s">
        <v>1521</v>
      </c>
      <c r="J9" s="7" t="s">
        <v>1461</v>
      </c>
      <c r="K9" s="7"/>
      <c r="L9" s="11" t="str">
        <f>HYPERLINK("http://slimages.macys.com/is/image/MCY/8958381 ")</f>
        <v xml:space="preserve">http://slimages.macys.com/is/image/MCY/8958381 </v>
      </c>
    </row>
    <row r="10" spans="1:12" ht="39.950000000000003" customHeight="1" x14ac:dyDescent="0.25">
      <c r="A10" s="6" t="s">
        <v>678</v>
      </c>
      <c r="B10" s="7" t="s">
        <v>679</v>
      </c>
      <c r="C10" s="8">
        <v>1</v>
      </c>
      <c r="D10" s="9">
        <v>77.989999999999995</v>
      </c>
      <c r="E10" s="8" t="s">
        <v>680</v>
      </c>
      <c r="F10" s="7" t="s">
        <v>1576</v>
      </c>
      <c r="G10" s="10"/>
      <c r="H10" s="7" t="s">
        <v>1664</v>
      </c>
      <c r="I10" s="7" t="s">
        <v>1588</v>
      </c>
      <c r="J10" s="7" t="s">
        <v>1461</v>
      </c>
      <c r="K10" s="7" t="s">
        <v>1564</v>
      </c>
      <c r="L10" s="11" t="str">
        <f>HYPERLINK("http://slimages.macys.com/is/image/MCY/16149454 ")</f>
        <v xml:space="preserve">http://slimages.macys.com/is/image/MCY/16149454 </v>
      </c>
    </row>
    <row r="11" spans="1:12" ht="39.950000000000003" customHeight="1" x14ac:dyDescent="0.25">
      <c r="A11" s="6" t="s">
        <v>681</v>
      </c>
      <c r="B11" s="7" t="s">
        <v>682</v>
      </c>
      <c r="C11" s="8">
        <v>3</v>
      </c>
      <c r="D11" s="9">
        <v>206.97</v>
      </c>
      <c r="E11" s="8" t="s">
        <v>683</v>
      </c>
      <c r="F11" s="7" t="s">
        <v>1458</v>
      </c>
      <c r="G11" s="10"/>
      <c r="H11" s="7" t="s">
        <v>1506</v>
      </c>
      <c r="I11" s="7" t="s">
        <v>684</v>
      </c>
      <c r="J11" s="7" t="s">
        <v>1461</v>
      </c>
      <c r="K11" s="7" t="s">
        <v>1564</v>
      </c>
      <c r="L11" s="11" t="str">
        <f>HYPERLINK("http://slimages.macys.com/is/image/MCY/13763292 ")</f>
        <v xml:space="preserve">http://slimages.macys.com/is/image/MCY/13763292 </v>
      </c>
    </row>
    <row r="12" spans="1:12" ht="39.950000000000003" customHeight="1" x14ac:dyDescent="0.25">
      <c r="A12" s="6" t="s">
        <v>685</v>
      </c>
      <c r="B12" s="7" t="s">
        <v>686</v>
      </c>
      <c r="C12" s="8">
        <v>2</v>
      </c>
      <c r="D12" s="9">
        <v>89.98</v>
      </c>
      <c r="E12" s="8" t="s">
        <v>687</v>
      </c>
      <c r="F12" s="7" t="s">
        <v>688</v>
      </c>
      <c r="G12" s="10"/>
      <c r="H12" s="7" t="s">
        <v>1605</v>
      </c>
      <c r="I12" s="7" t="s">
        <v>1521</v>
      </c>
      <c r="J12" s="7" t="s">
        <v>1461</v>
      </c>
      <c r="K12" s="7" t="s">
        <v>1527</v>
      </c>
      <c r="L12" s="11" t="str">
        <f>HYPERLINK("http://slimages.macys.com/is/image/MCY/10082420 ")</f>
        <v xml:space="preserve">http://slimages.macys.com/is/image/MCY/10082420 </v>
      </c>
    </row>
    <row r="13" spans="1:12" ht="39.950000000000003" customHeight="1" x14ac:dyDescent="0.25">
      <c r="A13" s="6" t="s">
        <v>689</v>
      </c>
      <c r="B13" s="7" t="s">
        <v>665</v>
      </c>
      <c r="C13" s="8">
        <v>1</v>
      </c>
      <c r="D13" s="9">
        <v>90.99</v>
      </c>
      <c r="E13" s="8" t="s">
        <v>690</v>
      </c>
      <c r="F13" s="7" t="s">
        <v>1458</v>
      </c>
      <c r="G13" s="10"/>
      <c r="H13" s="7" t="s">
        <v>1664</v>
      </c>
      <c r="I13" s="7" t="s">
        <v>1521</v>
      </c>
      <c r="J13" s="7" t="s">
        <v>1461</v>
      </c>
      <c r="K13" s="7" t="s">
        <v>691</v>
      </c>
      <c r="L13" s="11" t="str">
        <f>HYPERLINK("http://slimages.macys.com/is/image/MCY/12933732 ")</f>
        <v xml:space="preserve">http://slimages.macys.com/is/image/MCY/12933732 </v>
      </c>
    </row>
    <row r="14" spans="1:12" ht="39.950000000000003" customHeight="1" x14ac:dyDescent="0.25">
      <c r="A14" s="6" t="s">
        <v>692</v>
      </c>
      <c r="B14" s="7" t="s">
        <v>693</v>
      </c>
      <c r="C14" s="8">
        <v>1</v>
      </c>
      <c r="D14" s="9">
        <v>53.99</v>
      </c>
      <c r="E14" s="8">
        <v>2712</v>
      </c>
      <c r="F14" s="7" t="s">
        <v>1458</v>
      </c>
      <c r="G14" s="10"/>
      <c r="H14" s="7" t="s">
        <v>1692</v>
      </c>
      <c r="I14" s="7" t="s">
        <v>694</v>
      </c>
      <c r="J14" s="7" t="s">
        <v>1461</v>
      </c>
      <c r="K14" s="7" t="s">
        <v>1564</v>
      </c>
      <c r="L14" s="11" t="str">
        <f>HYPERLINK("http://slimages.macys.com/is/image/MCY/14370725 ")</f>
        <v xml:space="preserve">http://slimages.macys.com/is/image/MCY/14370725 </v>
      </c>
    </row>
    <row r="15" spans="1:12" ht="39.950000000000003" customHeight="1" x14ac:dyDescent="0.25">
      <c r="A15" s="6" t="s">
        <v>695</v>
      </c>
      <c r="B15" s="7" t="s">
        <v>696</v>
      </c>
      <c r="C15" s="8">
        <v>1</v>
      </c>
      <c r="D15" s="9">
        <v>44.99</v>
      </c>
      <c r="E15" s="8" t="s">
        <v>697</v>
      </c>
      <c r="F15" s="7" t="s">
        <v>1745</v>
      </c>
      <c r="G15" s="10"/>
      <c r="H15" s="7" t="s">
        <v>1605</v>
      </c>
      <c r="I15" s="7" t="s">
        <v>1959</v>
      </c>
      <c r="J15" s="7" t="s">
        <v>1461</v>
      </c>
      <c r="K15" s="7" t="s">
        <v>1729</v>
      </c>
      <c r="L15" s="11" t="str">
        <f>HYPERLINK("http://slimages.macys.com/is/image/MCY/10020544 ")</f>
        <v xml:space="preserve">http://slimages.macys.com/is/image/MCY/10020544 </v>
      </c>
    </row>
    <row r="16" spans="1:12" ht="39.950000000000003" customHeight="1" x14ac:dyDescent="0.25">
      <c r="A16" s="6" t="s">
        <v>698</v>
      </c>
      <c r="B16" s="7" t="s">
        <v>699</v>
      </c>
      <c r="C16" s="8">
        <v>1</v>
      </c>
      <c r="D16" s="9">
        <v>67.989999999999995</v>
      </c>
      <c r="E16" s="8" t="s">
        <v>700</v>
      </c>
      <c r="F16" s="7" t="s">
        <v>1519</v>
      </c>
      <c r="G16" s="10"/>
      <c r="H16" s="7" t="s">
        <v>1506</v>
      </c>
      <c r="I16" s="7" t="s">
        <v>504</v>
      </c>
      <c r="J16" s="7" t="s">
        <v>1461</v>
      </c>
      <c r="K16" s="7" t="s">
        <v>1564</v>
      </c>
      <c r="L16" s="11" t="str">
        <f>HYPERLINK("http://slimages.macys.com/is/image/MCY/12888451 ")</f>
        <v xml:space="preserve">http://slimages.macys.com/is/image/MCY/12888451 </v>
      </c>
    </row>
    <row r="17" spans="1:12" ht="39.950000000000003" customHeight="1" x14ac:dyDescent="0.25">
      <c r="A17" s="6" t="s">
        <v>701</v>
      </c>
      <c r="B17" s="7" t="s">
        <v>702</v>
      </c>
      <c r="C17" s="8">
        <v>8</v>
      </c>
      <c r="D17" s="9">
        <v>335.92</v>
      </c>
      <c r="E17" s="8" t="s">
        <v>703</v>
      </c>
      <c r="F17" s="7" t="s">
        <v>1519</v>
      </c>
      <c r="G17" s="10"/>
      <c r="H17" s="7" t="s">
        <v>1506</v>
      </c>
      <c r="I17" s="7" t="s">
        <v>1521</v>
      </c>
      <c r="J17" s="7" t="s">
        <v>1461</v>
      </c>
      <c r="K17" s="7" t="s">
        <v>1564</v>
      </c>
      <c r="L17" s="11" t="str">
        <f>HYPERLINK("http://slimages.macys.com/is/image/MCY/16396363 ")</f>
        <v xml:space="preserve">http://slimages.macys.com/is/image/MCY/16396363 </v>
      </c>
    </row>
    <row r="18" spans="1:12" ht="39.950000000000003" customHeight="1" x14ac:dyDescent="0.25">
      <c r="A18" s="6" t="s">
        <v>704</v>
      </c>
      <c r="B18" s="7" t="s">
        <v>705</v>
      </c>
      <c r="C18" s="8">
        <v>1</v>
      </c>
      <c r="D18" s="9">
        <v>39.99</v>
      </c>
      <c r="E18" s="8" t="s">
        <v>706</v>
      </c>
      <c r="F18" s="7" t="s">
        <v>1597</v>
      </c>
      <c r="G18" s="10"/>
      <c r="H18" s="7" t="s">
        <v>1605</v>
      </c>
      <c r="I18" s="7" t="s">
        <v>1822</v>
      </c>
      <c r="J18" s="7"/>
      <c r="K18" s="7"/>
      <c r="L18" s="11" t="str">
        <f>HYPERLINK("http://slimages.macys.com/is/image/MCY/17724992 ")</f>
        <v xml:space="preserve">http://slimages.macys.com/is/image/MCY/17724992 </v>
      </c>
    </row>
    <row r="19" spans="1:12" ht="39.950000000000003" customHeight="1" x14ac:dyDescent="0.25">
      <c r="A19" s="6" t="s">
        <v>707</v>
      </c>
      <c r="B19" s="7" t="s">
        <v>708</v>
      </c>
      <c r="C19" s="8">
        <v>1</v>
      </c>
      <c r="D19" s="9">
        <v>29.99</v>
      </c>
      <c r="E19" s="8" t="s">
        <v>709</v>
      </c>
      <c r="F19" s="7" t="s">
        <v>1560</v>
      </c>
      <c r="G19" s="10" t="s">
        <v>1941</v>
      </c>
      <c r="H19" s="7" t="s">
        <v>1506</v>
      </c>
      <c r="I19" s="7" t="s">
        <v>1521</v>
      </c>
      <c r="J19" s="7" t="s">
        <v>1461</v>
      </c>
      <c r="K19" s="7" t="s">
        <v>710</v>
      </c>
      <c r="L19" s="11" t="str">
        <f>HYPERLINK("http://slimages.macys.com/is/image/MCY/8064927 ")</f>
        <v xml:space="preserve">http://slimages.macys.com/is/image/MCY/8064927 </v>
      </c>
    </row>
    <row r="20" spans="1:12" ht="39.950000000000003" customHeight="1" x14ac:dyDescent="0.25">
      <c r="A20" s="6" t="s">
        <v>711</v>
      </c>
      <c r="B20" s="7" t="s">
        <v>712</v>
      </c>
      <c r="C20" s="8">
        <v>1</v>
      </c>
      <c r="D20" s="9">
        <v>29.99</v>
      </c>
      <c r="E20" s="8" t="s">
        <v>713</v>
      </c>
      <c r="F20" s="7" t="s">
        <v>1582</v>
      </c>
      <c r="G20" s="10" t="s">
        <v>1941</v>
      </c>
      <c r="H20" s="7" t="s">
        <v>1506</v>
      </c>
      <c r="I20" s="7" t="s">
        <v>1521</v>
      </c>
      <c r="J20" s="7" t="s">
        <v>1461</v>
      </c>
      <c r="K20" s="7" t="s">
        <v>710</v>
      </c>
      <c r="L20" s="11" t="str">
        <f>HYPERLINK("http://slimages.macys.com/is/image/MCY/8064927 ")</f>
        <v xml:space="preserve">http://slimages.macys.com/is/image/MCY/8064927 </v>
      </c>
    </row>
    <row r="21" spans="1:12" ht="39.950000000000003" customHeight="1" x14ac:dyDescent="0.25">
      <c r="A21" s="6" t="s">
        <v>578</v>
      </c>
      <c r="B21" s="7" t="s">
        <v>579</v>
      </c>
      <c r="C21" s="8">
        <v>5</v>
      </c>
      <c r="D21" s="9">
        <v>299.95</v>
      </c>
      <c r="E21" s="8" t="s">
        <v>580</v>
      </c>
      <c r="F21" s="7" t="s">
        <v>1458</v>
      </c>
      <c r="G21" s="10"/>
      <c r="H21" s="7" t="s">
        <v>1545</v>
      </c>
      <c r="I21" s="7" t="s">
        <v>1546</v>
      </c>
      <c r="J21" s="7"/>
      <c r="K21" s="7"/>
      <c r="L21" s="11" t="str">
        <f>HYPERLINK("http://slimages.macys.com/is/image/MCY/16633321 ")</f>
        <v xml:space="preserve">http://slimages.macys.com/is/image/MCY/16633321 </v>
      </c>
    </row>
    <row r="22" spans="1:12" ht="39.950000000000003" customHeight="1" x14ac:dyDescent="0.25">
      <c r="A22" s="6" t="s">
        <v>714</v>
      </c>
      <c r="B22" s="7" t="s">
        <v>715</v>
      </c>
      <c r="C22" s="8">
        <v>2</v>
      </c>
      <c r="D22" s="9">
        <v>63.98</v>
      </c>
      <c r="E22" s="8">
        <v>12495</v>
      </c>
      <c r="F22" s="7" t="s">
        <v>1877</v>
      </c>
      <c r="G22" s="10" t="s">
        <v>2241</v>
      </c>
      <c r="H22" s="7" t="s">
        <v>1506</v>
      </c>
      <c r="I22" s="7" t="s">
        <v>2269</v>
      </c>
      <c r="J22" s="7" t="s">
        <v>1461</v>
      </c>
      <c r="K22" s="7" t="s">
        <v>1564</v>
      </c>
      <c r="L22" s="11" t="str">
        <f>HYPERLINK("http://slimages.macys.com/is/image/MCY/11837438 ")</f>
        <v xml:space="preserve">http://slimages.macys.com/is/image/MCY/11837438 </v>
      </c>
    </row>
    <row r="23" spans="1:12" ht="39.950000000000003" customHeight="1" x14ac:dyDescent="0.25">
      <c r="A23" s="6" t="s">
        <v>2270</v>
      </c>
      <c r="B23" s="7" t="s">
        <v>2271</v>
      </c>
      <c r="C23" s="8">
        <v>1</v>
      </c>
      <c r="D23" s="9">
        <v>19.989999999999998</v>
      </c>
      <c r="E23" s="8" t="s">
        <v>2272</v>
      </c>
      <c r="F23" s="7" t="s">
        <v>1651</v>
      </c>
      <c r="G23" s="10" t="s">
        <v>1561</v>
      </c>
      <c r="H23" s="7" t="s">
        <v>1605</v>
      </c>
      <c r="I23" s="7" t="s">
        <v>1839</v>
      </c>
      <c r="J23" s="7"/>
      <c r="K23" s="7"/>
      <c r="L23" s="11" t="str">
        <f>HYPERLINK("http://slimages.macys.com/is/image/MCY/17719600 ")</f>
        <v xml:space="preserve">http://slimages.macys.com/is/image/MCY/17719600 </v>
      </c>
    </row>
    <row r="24" spans="1:12" ht="39.950000000000003" customHeight="1" x14ac:dyDescent="0.25">
      <c r="A24" s="6" t="s">
        <v>716</v>
      </c>
      <c r="B24" s="7" t="s">
        <v>717</v>
      </c>
      <c r="C24" s="8">
        <v>3</v>
      </c>
      <c r="D24" s="9">
        <v>134.97</v>
      </c>
      <c r="E24" s="8" t="s">
        <v>718</v>
      </c>
      <c r="F24" s="7" t="s">
        <v>1597</v>
      </c>
      <c r="G24" s="10"/>
      <c r="H24" s="7" t="s">
        <v>1545</v>
      </c>
      <c r="I24" s="7" t="s">
        <v>1546</v>
      </c>
      <c r="J24" s="7" t="s">
        <v>1461</v>
      </c>
      <c r="K24" s="7"/>
      <c r="L24" s="11" t="str">
        <f>HYPERLINK("http://slimages.macys.com/is/image/MCY/15105812 ")</f>
        <v xml:space="preserve">http://slimages.macys.com/is/image/MCY/15105812 </v>
      </c>
    </row>
    <row r="25" spans="1:12" ht="39.950000000000003" customHeight="1" x14ac:dyDescent="0.25">
      <c r="A25" s="6" t="s">
        <v>1767</v>
      </c>
      <c r="B25" s="7" t="s">
        <v>1768</v>
      </c>
      <c r="C25" s="8">
        <v>1</v>
      </c>
      <c r="D25" s="9">
        <v>39.99</v>
      </c>
      <c r="E25" s="8" t="s">
        <v>1769</v>
      </c>
      <c r="F25" s="7" t="s">
        <v>1627</v>
      </c>
      <c r="G25" s="10"/>
      <c r="H25" s="7" t="s">
        <v>1545</v>
      </c>
      <c r="I25" s="7" t="s">
        <v>1546</v>
      </c>
      <c r="J25" s="7" t="s">
        <v>1461</v>
      </c>
      <c r="K25" s="7"/>
      <c r="L25" s="11" t="str">
        <f>HYPERLINK("http://slimages.macys.com/is/image/MCY/13441238 ")</f>
        <v xml:space="preserve">http://slimages.macys.com/is/image/MCY/13441238 </v>
      </c>
    </row>
    <row r="26" spans="1:12" ht="39.950000000000003" customHeight="1" x14ac:dyDescent="0.25">
      <c r="A26" s="6" t="s">
        <v>719</v>
      </c>
      <c r="B26" s="7" t="s">
        <v>720</v>
      </c>
      <c r="C26" s="8">
        <v>2</v>
      </c>
      <c r="D26" s="9">
        <v>69.98</v>
      </c>
      <c r="E26" s="8" t="s">
        <v>721</v>
      </c>
      <c r="F26" s="7" t="s">
        <v>1965</v>
      </c>
      <c r="G26" s="10"/>
      <c r="H26" s="7" t="s">
        <v>1545</v>
      </c>
      <c r="I26" s="7" t="s">
        <v>1546</v>
      </c>
      <c r="J26" s="7" t="s">
        <v>1461</v>
      </c>
      <c r="K26" s="7"/>
      <c r="L26" s="11" t="str">
        <f>HYPERLINK("http://slimages.macys.com/is/image/MCY/16537031 ")</f>
        <v xml:space="preserve">http://slimages.macys.com/is/image/MCY/16537031 </v>
      </c>
    </row>
    <row r="27" spans="1:12" ht="39.950000000000003" customHeight="1" x14ac:dyDescent="0.25">
      <c r="A27" s="6" t="s">
        <v>722</v>
      </c>
      <c r="B27" s="7" t="s">
        <v>723</v>
      </c>
      <c r="C27" s="8">
        <v>2</v>
      </c>
      <c r="D27" s="9">
        <v>37.979999999999997</v>
      </c>
      <c r="E27" s="8" t="s">
        <v>724</v>
      </c>
      <c r="F27" s="7" t="s">
        <v>2224</v>
      </c>
      <c r="G27" s="10"/>
      <c r="H27" s="7" t="s">
        <v>1605</v>
      </c>
      <c r="I27" s="7" t="s">
        <v>2225</v>
      </c>
      <c r="J27" s="7"/>
      <c r="K27" s="7"/>
      <c r="L27" s="11" t="str">
        <f>HYPERLINK("http://slimages.macys.com/is/image/MCY/17809622 ")</f>
        <v xml:space="preserve">http://slimages.macys.com/is/image/MCY/17809622 </v>
      </c>
    </row>
    <row r="28" spans="1:12" ht="39.950000000000003" customHeight="1" x14ac:dyDescent="0.25">
      <c r="A28" s="6" t="s">
        <v>725</v>
      </c>
      <c r="B28" s="7" t="s">
        <v>726</v>
      </c>
      <c r="C28" s="8">
        <v>1</v>
      </c>
      <c r="D28" s="9">
        <v>29.99</v>
      </c>
      <c r="E28" s="8" t="s">
        <v>727</v>
      </c>
      <c r="F28" s="7" t="s">
        <v>1936</v>
      </c>
      <c r="G28" s="10"/>
      <c r="H28" s="7" t="s">
        <v>1545</v>
      </c>
      <c r="I28" s="7" t="s">
        <v>1546</v>
      </c>
      <c r="J28" s="7" t="s">
        <v>1600</v>
      </c>
      <c r="K28" s="7" t="s">
        <v>1527</v>
      </c>
      <c r="L28" s="11" t="str">
        <f>HYPERLINK("http://slimages.macys.com/is/image/MCY/11320819 ")</f>
        <v xml:space="preserve">http://slimages.macys.com/is/image/MCY/11320819 </v>
      </c>
    </row>
    <row r="29" spans="1:12" ht="39.950000000000003" customHeight="1" x14ac:dyDescent="0.25">
      <c r="A29" s="6" t="s">
        <v>2281</v>
      </c>
      <c r="B29" s="7" t="s">
        <v>2282</v>
      </c>
      <c r="C29" s="8">
        <v>1</v>
      </c>
      <c r="D29" s="9">
        <v>29.99</v>
      </c>
      <c r="E29" s="8" t="s">
        <v>2283</v>
      </c>
      <c r="F29" s="7" t="s">
        <v>1544</v>
      </c>
      <c r="G29" s="10"/>
      <c r="H29" s="7" t="s">
        <v>1545</v>
      </c>
      <c r="I29" s="7" t="s">
        <v>1546</v>
      </c>
      <c r="J29" s="7" t="s">
        <v>1461</v>
      </c>
      <c r="K29" s="7" t="s">
        <v>2284</v>
      </c>
      <c r="L29" s="11" t="str">
        <f>HYPERLINK("http://slimages.macys.com/is/image/MCY/14607258 ")</f>
        <v xml:space="preserve">http://slimages.macys.com/is/image/MCY/14607258 </v>
      </c>
    </row>
    <row r="30" spans="1:12" ht="39.950000000000003" customHeight="1" x14ac:dyDescent="0.25">
      <c r="A30" s="6" t="s">
        <v>2290</v>
      </c>
      <c r="B30" s="7" t="s">
        <v>2291</v>
      </c>
      <c r="C30" s="8">
        <v>10</v>
      </c>
      <c r="D30" s="9">
        <v>149.9</v>
      </c>
      <c r="E30" s="8" t="s">
        <v>2292</v>
      </c>
      <c r="F30" s="7" t="s">
        <v>1505</v>
      </c>
      <c r="G30" s="10" t="s">
        <v>2241</v>
      </c>
      <c r="H30" s="7" t="s">
        <v>1506</v>
      </c>
      <c r="I30" s="7" t="s">
        <v>2276</v>
      </c>
      <c r="J30" s="7"/>
      <c r="K30" s="7"/>
      <c r="L30" s="11" t="str">
        <f>HYPERLINK("http://slimages.macys.com/is/image/MCY/17620637 ")</f>
        <v xml:space="preserve">http://slimages.macys.com/is/image/MCY/17620637 </v>
      </c>
    </row>
    <row r="31" spans="1:12" ht="39.950000000000003" customHeight="1" x14ac:dyDescent="0.25">
      <c r="A31" s="6" t="s">
        <v>2293</v>
      </c>
      <c r="B31" s="7" t="s">
        <v>2294</v>
      </c>
      <c r="C31" s="8">
        <v>1</v>
      </c>
      <c r="D31" s="9">
        <v>29.99</v>
      </c>
      <c r="E31" s="8" t="s">
        <v>2295</v>
      </c>
      <c r="F31" s="7" t="s">
        <v>1560</v>
      </c>
      <c r="G31" s="10"/>
      <c r="H31" s="7" t="s">
        <v>1545</v>
      </c>
      <c r="I31" s="7" t="s">
        <v>1546</v>
      </c>
      <c r="J31" s="7" t="s">
        <v>1461</v>
      </c>
      <c r="K31" s="7"/>
      <c r="L31" s="11" t="str">
        <f>HYPERLINK("http://slimages.macys.com/is/image/MCY/15912144 ")</f>
        <v xml:space="preserve">http://slimages.macys.com/is/image/MCY/15912144 </v>
      </c>
    </row>
    <row r="32" spans="1:12" ht="39.950000000000003" customHeight="1" x14ac:dyDescent="0.25">
      <c r="A32" s="6" t="s">
        <v>728</v>
      </c>
      <c r="B32" s="7" t="s">
        <v>729</v>
      </c>
      <c r="C32" s="8">
        <v>1</v>
      </c>
      <c r="D32" s="9">
        <v>34.99</v>
      </c>
      <c r="E32" s="8" t="s">
        <v>730</v>
      </c>
      <c r="F32" s="7" t="s">
        <v>590</v>
      </c>
      <c r="G32" s="10"/>
      <c r="H32" s="7" t="s">
        <v>1506</v>
      </c>
      <c r="I32" s="7" t="s">
        <v>731</v>
      </c>
      <c r="J32" s="7"/>
      <c r="K32" s="7"/>
      <c r="L32" s="11"/>
    </row>
    <row r="33" spans="1:12" ht="39.950000000000003" customHeight="1" x14ac:dyDescent="0.25">
      <c r="A33" s="6"/>
      <c r="B33" s="7"/>
      <c r="C33" s="8"/>
      <c r="D33" s="9"/>
      <c r="E33" s="8"/>
      <c r="F33" s="7"/>
      <c r="G33" s="10"/>
      <c r="H33" s="7"/>
      <c r="I33" s="7"/>
      <c r="J33" s="7"/>
      <c r="K33" s="7"/>
      <c r="L33" s="11"/>
    </row>
    <row r="34" spans="1:12" ht="39.950000000000003" customHeight="1" x14ac:dyDescent="0.25">
      <c r="A34" s="6"/>
      <c r="B34" s="7"/>
      <c r="C34" s="8"/>
      <c r="D34" s="9"/>
      <c r="E34" s="8"/>
      <c r="F34" s="7"/>
      <c r="G34" s="10"/>
      <c r="H34" s="7"/>
      <c r="I34" s="7"/>
      <c r="J34" s="7"/>
      <c r="K34" s="7"/>
      <c r="L34" s="11"/>
    </row>
    <row r="35" spans="1:12" ht="39.950000000000003" customHeight="1" x14ac:dyDescent="0.25">
      <c r="A35" s="6"/>
      <c r="B35" s="7"/>
      <c r="C35" s="8"/>
      <c r="D35" s="9"/>
      <c r="E35" s="8"/>
      <c r="F35" s="7"/>
      <c r="G35" s="10"/>
      <c r="H35" s="7"/>
      <c r="I35" s="7"/>
      <c r="J35" s="7"/>
      <c r="K35" s="7"/>
      <c r="L35" s="11"/>
    </row>
    <row r="36" spans="1:12" ht="39.950000000000003" customHeight="1" x14ac:dyDescent="0.25">
      <c r="A36" s="6"/>
      <c r="B36" s="7"/>
      <c r="C36" s="8"/>
      <c r="D36" s="9"/>
      <c r="E36" s="8"/>
      <c r="F36" s="7"/>
      <c r="G36" s="10"/>
      <c r="H36" s="7"/>
      <c r="I36" s="7"/>
      <c r="J36" s="7"/>
      <c r="K36" s="7"/>
      <c r="L36" s="11"/>
    </row>
    <row r="37" spans="1:12" ht="39.950000000000003" customHeight="1" x14ac:dyDescent="0.25">
      <c r="A37" s="6"/>
      <c r="B37" s="7"/>
      <c r="C37" s="8"/>
      <c r="D37" s="9"/>
      <c r="E37" s="8"/>
      <c r="F37" s="7"/>
      <c r="G37" s="10"/>
      <c r="H37" s="7"/>
      <c r="I37" s="7"/>
      <c r="J37" s="7"/>
      <c r="K37" s="7"/>
      <c r="L37" s="11"/>
    </row>
    <row r="38" spans="1:12" ht="39.950000000000003" customHeight="1" x14ac:dyDescent="0.25">
      <c r="A38" s="6"/>
      <c r="B38" s="7"/>
      <c r="C38" s="8"/>
      <c r="D38" s="9"/>
      <c r="E38" s="8"/>
      <c r="F38" s="7"/>
      <c r="G38" s="10"/>
      <c r="H38" s="7"/>
      <c r="I38" s="7"/>
      <c r="J38" s="7"/>
      <c r="K38" s="7"/>
      <c r="L38" s="11"/>
    </row>
    <row r="39" spans="1:12" ht="39.950000000000003" customHeight="1" x14ac:dyDescent="0.25">
      <c r="A39" s="6"/>
      <c r="B39" s="7"/>
      <c r="C39" s="8"/>
      <c r="D39" s="9"/>
      <c r="E39" s="8"/>
      <c r="F39" s="7"/>
      <c r="G39" s="10"/>
      <c r="H39" s="7"/>
      <c r="I39" s="7"/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732</v>
      </c>
      <c r="B2" s="7" t="s">
        <v>733</v>
      </c>
      <c r="C2" s="8">
        <v>1</v>
      </c>
      <c r="D2" s="9">
        <v>209.99</v>
      </c>
      <c r="E2" s="8" t="s">
        <v>734</v>
      </c>
      <c r="F2" s="7" t="s">
        <v>1868</v>
      </c>
      <c r="G2" s="10"/>
      <c r="H2" s="7" t="s">
        <v>1664</v>
      </c>
      <c r="I2" s="7" t="s">
        <v>1521</v>
      </c>
      <c r="J2" s="7" t="s">
        <v>1461</v>
      </c>
      <c r="K2" s="7" t="s">
        <v>735</v>
      </c>
      <c r="L2" s="11" t="str">
        <f>HYPERLINK("http://slimages.macys.com/is/image/MCY/9627921 ")</f>
        <v xml:space="preserve">http://slimages.macys.com/is/image/MCY/9627921 </v>
      </c>
    </row>
    <row r="3" spans="1:12" ht="39.950000000000003" customHeight="1" x14ac:dyDescent="0.25">
      <c r="A3" s="6" t="s">
        <v>736</v>
      </c>
      <c r="B3" s="7" t="s">
        <v>737</v>
      </c>
      <c r="C3" s="8">
        <v>1</v>
      </c>
      <c r="D3" s="9">
        <v>264.99</v>
      </c>
      <c r="E3" s="8">
        <v>79654</v>
      </c>
      <c r="F3" s="7" t="s">
        <v>1711</v>
      </c>
      <c r="G3" s="10"/>
      <c r="H3" s="7" t="s">
        <v>1664</v>
      </c>
      <c r="I3" s="7" t="s">
        <v>738</v>
      </c>
      <c r="J3" s="7" t="s">
        <v>1461</v>
      </c>
      <c r="K3" s="7" t="s">
        <v>739</v>
      </c>
      <c r="L3" s="11" t="str">
        <f>HYPERLINK("http://slimages.macys.com/is/image/MCY/11686272 ")</f>
        <v xml:space="preserve">http://slimages.macys.com/is/image/MCY/11686272 </v>
      </c>
    </row>
    <row r="4" spans="1:12" ht="39.950000000000003" customHeight="1" x14ac:dyDescent="0.25">
      <c r="A4" s="6" t="s">
        <v>740</v>
      </c>
      <c r="B4" s="7" t="s">
        <v>741</v>
      </c>
      <c r="C4" s="8">
        <v>1</v>
      </c>
      <c r="D4" s="9">
        <v>169.99</v>
      </c>
      <c r="E4" s="8" t="s">
        <v>742</v>
      </c>
      <c r="F4" s="7" t="s">
        <v>1576</v>
      </c>
      <c r="G4" s="10"/>
      <c r="H4" s="7" t="s">
        <v>1664</v>
      </c>
      <c r="I4" s="7" t="s">
        <v>1521</v>
      </c>
      <c r="J4" s="7" t="s">
        <v>1461</v>
      </c>
      <c r="K4" s="7" t="s">
        <v>743</v>
      </c>
      <c r="L4" s="11" t="str">
        <f>HYPERLINK("http://slimages.macys.com/is/image/MCY/9627753 ")</f>
        <v xml:space="preserve">http://slimages.macys.com/is/image/MCY/9627753 </v>
      </c>
    </row>
    <row r="5" spans="1:12" ht="39.950000000000003" customHeight="1" x14ac:dyDescent="0.25">
      <c r="A5" s="6" t="s">
        <v>744</v>
      </c>
      <c r="B5" s="7" t="s">
        <v>745</v>
      </c>
      <c r="C5" s="8">
        <v>1</v>
      </c>
      <c r="D5" s="9">
        <v>199.99</v>
      </c>
      <c r="E5" s="8" t="s">
        <v>746</v>
      </c>
      <c r="F5" s="7" t="s">
        <v>1537</v>
      </c>
      <c r="G5" s="10"/>
      <c r="H5" s="7" t="s">
        <v>1545</v>
      </c>
      <c r="I5" s="7" t="s">
        <v>1546</v>
      </c>
      <c r="J5" s="7"/>
      <c r="K5" s="7"/>
      <c r="L5" s="11" t="str">
        <f>HYPERLINK("http://slimages.macys.com/is/image/MCY/16633345 ")</f>
        <v xml:space="preserve">http://slimages.macys.com/is/image/MCY/16633345 </v>
      </c>
    </row>
    <row r="6" spans="1:12" ht="39.950000000000003" customHeight="1" x14ac:dyDescent="0.25">
      <c r="A6" s="6" t="s">
        <v>747</v>
      </c>
      <c r="B6" s="7" t="s">
        <v>748</v>
      </c>
      <c r="C6" s="8">
        <v>1</v>
      </c>
      <c r="D6" s="9">
        <v>149.99</v>
      </c>
      <c r="E6" s="8" t="s">
        <v>749</v>
      </c>
      <c r="F6" s="7" t="s">
        <v>1560</v>
      </c>
      <c r="G6" s="10"/>
      <c r="H6" s="7" t="s">
        <v>1664</v>
      </c>
      <c r="I6" s="7" t="s">
        <v>1521</v>
      </c>
      <c r="J6" s="7" t="s">
        <v>1461</v>
      </c>
      <c r="K6" s="7" t="s">
        <v>750</v>
      </c>
      <c r="L6" s="11" t="str">
        <f>HYPERLINK("http://slimages.macys.com/is/image/MCY/9627806 ")</f>
        <v xml:space="preserve">http://slimages.macys.com/is/image/MCY/9627806 </v>
      </c>
    </row>
    <row r="7" spans="1:12" ht="39.950000000000003" customHeight="1" x14ac:dyDescent="0.25">
      <c r="A7" s="6" t="s">
        <v>751</v>
      </c>
      <c r="B7" s="7" t="s">
        <v>752</v>
      </c>
      <c r="C7" s="8">
        <v>1</v>
      </c>
      <c r="D7" s="9">
        <v>155.99</v>
      </c>
      <c r="E7" s="8" t="s">
        <v>753</v>
      </c>
      <c r="F7" s="7" t="s">
        <v>1519</v>
      </c>
      <c r="G7" s="10"/>
      <c r="H7" s="7" t="s">
        <v>1506</v>
      </c>
      <c r="I7" s="7" t="s">
        <v>1521</v>
      </c>
      <c r="J7" s="7" t="s">
        <v>1461</v>
      </c>
      <c r="K7" s="7" t="s">
        <v>754</v>
      </c>
      <c r="L7" s="11" t="str">
        <f>HYPERLINK("http://slimages.macys.com/is/image/MCY/11825062 ")</f>
        <v xml:space="preserve">http://slimages.macys.com/is/image/MCY/11825062 </v>
      </c>
    </row>
    <row r="8" spans="1:12" ht="39.950000000000003" customHeight="1" x14ac:dyDescent="0.25">
      <c r="A8" s="6" t="s">
        <v>755</v>
      </c>
      <c r="B8" s="7" t="s">
        <v>756</v>
      </c>
      <c r="C8" s="8">
        <v>1</v>
      </c>
      <c r="D8" s="9">
        <v>99.99</v>
      </c>
      <c r="E8" s="8" t="s">
        <v>757</v>
      </c>
      <c r="F8" s="7" t="s">
        <v>1936</v>
      </c>
      <c r="G8" s="10"/>
      <c r="H8" s="7" t="s">
        <v>1545</v>
      </c>
      <c r="I8" s="7" t="s">
        <v>1546</v>
      </c>
      <c r="J8" s="7" t="s">
        <v>1600</v>
      </c>
      <c r="K8" s="7" t="s">
        <v>1618</v>
      </c>
      <c r="L8" s="11" t="str">
        <f>HYPERLINK("http://slimages.macys.com/is/image/MCY/11320819 ")</f>
        <v xml:space="preserve">http://slimages.macys.com/is/image/MCY/11320819 </v>
      </c>
    </row>
    <row r="9" spans="1:12" ht="39.950000000000003" customHeight="1" x14ac:dyDescent="0.25">
      <c r="A9" s="6" t="s">
        <v>758</v>
      </c>
      <c r="B9" s="7" t="s">
        <v>759</v>
      </c>
      <c r="C9" s="8">
        <v>2</v>
      </c>
      <c r="D9" s="9">
        <v>199.98</v>
      </c>
      <c r="E9" s="8" t="s">
        <v>760</v>
      </c>
      <c r="F9" s="7" t="s">
        <v>1597</v>
      </c>
      <c r="G9" s="10"/>
      <c r="H9" s="7" t="s">
        <v>1496</v>
      </c>
      <c r="I9" s="7" t="s">
        <v>1526</v>
      </c>
      <c r="J9" s="7"/>
      <c r="K9" s="7"/>
      <c r="L9" s="11" t="str">
        <f>HYPERLINK("http://slimages.macys.com/is/image/MCY/17885674 ")</f>
        <v xml:space="preserve">http://slimages.macys.com/is/image/MCY/17885674 </v>
      </c>
    </row>
    <row r="10" spans="1:12" ht="39.950000000000003" customHeight="1" x14ac:dyDescent="0.25">
      <c r="A10" s="6" t="s">
        <v>761</v>
      </c>
      <c r="B10" s="7" t="s">
        <v>762</v>
      </c>
      <c r="C10" s="8">
        <v>1</v>
      </c>
      <c r="D10" s="9">
        <v>99.99</v>
      </c>
      <c r="E10" s="8" t="s">
        <v>763</v>
      </c>
      <c r="F10" s="7" t="s">
        <v>1597</v>
      </c>
      <c r="G10" s="10" t="s">
        <v>1846</v>
      </c>
      <c r="H10" s="7" t="s">
        <v>1550</v>
      </c>
      <c r="I10" s="7" t="s">
        <v>1617</v>
      </c>
      <c r="J10" s="7" t="s">
        <v>1600</v>
      </c>
      <c r="K10" s="7" t="s">
        <v>764</v>
      </c>
      <c r="L10" s="11" t="str">
        <f>HYPERLINK("http://slimages.macys.com/is/image/MCY/9935614 ")</f>
        <v xml:space="preserve">http://slimages.macys.com/is/image/MCY/9935614 </v>
      </c>
    </row>
    <row r="11" spans="1:12" ht="39.950000000000003" customHeight="1" x14ac:dyDescent="0.25">
      <c r="A11" s="6" t="s">
        <v>765</v>
      </c>
      <c r="B11" s="7" t="s">
        <v>766</v>
      </c>
      <c r="C11" s="8">
        <v>1</v>
      </c>
      <c r="D11" s="9">
        <v>69.989999999999995</v>
      </c>
      <c r="E11" s="8" t="s">
        <v>767</v>
      </c>
      <c r="F11" s="7" t="s">
        <v>768</v>
      </c>
      <c r="G11" s="10"/>
      <c r="H11" s="7" t="s">
        <v>1520</v>
      </c>
      <c r="I11" s="7" t="s">
        <v>2017</v>
      </c>
      <c r="J11" s="7" t="s">
        <v>1461</v>
      </c>
      <c r="K11" s="7"/>
      <c r="L11" s="11" t="str">
        <f>HYPERLINK("http://slimages.macys.com/is/image/MCY/10249494 ")</f>
        <v xml:space="preserve">http://slimages.macys.com/is/image/MCY/10249494 </v>
      </c>
    </row>
    <row r="12" spans="1:12" ht="39.950000000000003" customHeight="1" x14ac:dyDescent="0.25">
      <c r="A12" s="6" t="s">
        <v>769</v>
      </c>
      <c r="B12" s="7" t="s">
        <v>770</v>
      </c>
      <c r="C12" s="8">
        <v>1</v>
      </c>
      <c r="D12" s="9">
        <v>59.99</v>
      </c>
      <c r="E12" s="8" t="s">
        <v>771</v>
      </c>
      <c r="F12" s="7" t="s">
        <v>1576</v>
      </c>
      <c r="G12" s="10"/>
      <c r="H12" s="7" t="s">
        <v>1664</v>
      </c>
      <c r="I12" s="7" t="s">
        <v>1588</v>
      </c>
      <c r="J12" s="7"/>
      <c r="K12" s="7"/>
      <c r="L12" s="11" t="str">
        <f>HYPERLINK("http://slimages.macys.com/is/image/MCY/17425650 ")</f>
        <v xml:space="preserve">http://slimages.macys.com/is/image/MCY/17425650 </v>
      </c>
    </row>
    <row r="13" spans="1:12" ht="39.950000000000003" customHeight="1" x14ac:dyDescent="0.25">
      <c r="A13" s="6" t="s">
        <v>772</v>
      </c>
      <c r="B13" s="7" t="s">
        <v>773</v>
      </c>
      <c r="C13" s="8">
        <v>1</v>
      </c>
      <c r="D13" s="9">
        <v>44.99</v>
      </c>
      <c r="E13" s="8" t="s">
        <v>774</v>
      </c>
      <c r="F13" s="7" t="s">
        <v>1458</v>
      </c>
      <c r="G13" s="10" t="s">
        <v>775</v>
      </c>
      <c r="H13" s="7" t="s">
        <v>1764</v>
      </c>
      <c r="I13" s="7" t="s">
        <v>2242</v>
      </c>
      <c r="J13" s="7" t="s">
        <v>1461</v>
      </c>
      <c r="K13" s="7" t="s">
        <v>1623</v>
      </c>
      <c r="L13" s="11" t="str">
        <f>HYPERLINK("http://slimages.macys.com/is/image/MCY/13468677 ")</f>
        <v xml:space="preserve">http://slimages.macys.com/is/image/MCY/13468677 </v>
      </c>
    </row>
    <row r="14" spans="1:12" ht="39.950000000000003" customHeight="1" x14ac:dyDescent="0.25">
      <c r="A14" s="6" t="s">
        <v>776</v>
      </c>
      <c r="B14" s="7" t="s">
        <v>777</v>
      </c>
      <c r="C14" s="8">
        <v>1</v>
      </c>
      <c r="D14" s="9">
        <v>79.989999999999995</v>
      </c>
      <c r="E14" s="8" t="s">
        <v>778</v>
      </c>
      <c r="F14" s="7" t="s">
        <v>1458</v>
      </c>
      <c r="G14" s="10"/>
      <c r="H14" s="7" t="s">
        <v>1467</v>
      </c>
      <c r="I14" s="7" t="s">
        <v>1712</v>
      </c>
      <c r="J14" s="7" t="s">
        <v>1461</v>
      </c>
      <c r="K14" s="7"/>
      <c r="L14" s="11" t="str">
        <f>HYPERLINK("http://slimages.macys.com/is/image/MCY/12873898 ")</f>
        <v xml:space="preserve">http://slimages.macys.com/is/image/MCY/12873898 </v>
      </c>
    </row>
    <row r="15" spans="1:12" ht="39.950000000000003" customHeight="1" x14ac:dyDescent="0.25">
      <c r="A15" s="6" t="s">
        <v>779</v>
      </c>
      <c r="B15" s="7" t="s">
        <v>780</v>
      </c>
      <c r="C15" s="8">
        <v>1</v>
      </c>
      <c r="D15" s="9">
        <v>79.989999999999995</v>
      </c>
      <c r="E15" s="8" t="s">
        <v>781</v>
      </c>
      <c r="F15" s="7" t="s">
        <v>1458</v>
      </c>
      <c r="G15" s="10"/>
      <c r="H15" s="7" t="s">
        <v>1467</v>
      </c>
      <c r="I15" s="7" t="s">
        <v>1712</v>
      </c>
      <c r="J15" s="7" t="s">
        <v>1461</v>
      </c>
      <c r="K15" s="7"/>
      <c r="L15" s="11" t="str">
        <f>HYPERLINK("http://slimages.macys.com/is/image/MCY/12873899 ")</f>
        <v xml:space="preserve">http://slimages.macys.com/is/image/MCY/12873899 </v>
      </c>
    </row>
    <row r="16" spans="1:12" ht="39.950000000000003" customHeight="1" x14ac:dyDescent="0.25">
      <c r="A16" s="6" t="s">
        <v>782</v>
      </c>
      <c r="B16" s="7" t="s">
        <v>783</v>
      </c>
      <c r="C16" s="8">
        <v>2</v>
      </c>
      <c r="D16" s="9">
        <v>99.98</v>
      </c>
      <c r="E16" s="8">
        <v>225663</v>
      </c>
      <c r="F16" s="7" t="s">
        <v>1785</v>
      </c>
      <c r="G16" s="10"/>
      <c r="H16" s="7" t="s">
        <v>1506</v>
      </c>
      <c r="I16" s="7" t="s">
        <v>784</v>
      </c>
      <c r="J16" s="7" t="s">
        <v>1461</v>
      </c>
      <c r="K16" s="7"/>
      <c r="L16" s="11" t="str">
        <f>HYPERLINK("http://slimages.macys.com/is/image/MCY/9210701 ")</f>
        <v xml:space="preserve">http://slimages.macys.com/is/image/MCY/9210701 </v>
      </c>
    </row>
    <row r="17" spans="1:12" ht="39.950000000000003" customHeight="1" x14ac:dyDescent="0.25">
      <c r="A17" s="6" t="s">
        <v>785</v>
      </c>
      <c r="B17" s="7" t="s">
        <v>786</v>
      </c>
      <c r="C17" s="8">
        <v>1</v>
      </c>
      <c r="D17" s="9">
        <v>49.99</v>
      </c>
      <c r="E17" s="8" t="s">
        <v>787</v>
      </c>
      <c r="F17" s="7" t="s">
        <v>1495</v>
      </c>
      <c r="G17" s="10"/>
      <c r="H17" s="7" t="s">
        <v>1532</v>
      </c>
      <c r="I17" s="7" t="s">
        <v>2261</v>
      </c>
      <c r="J17" s="7" t="s">
        <v>1461</v>
      </c>
      <c r="K17" s="7" t="s">
        <v>1527</v>
      </c>
      <c r="L17" s="11" t="str">
        <f>HYPERLINK("http://slimages.macys.com/is/image/MCY/2620611 ")</f>
        <v xml:space="preserve">http://slimages.macys.com/is/image/MCY/2620611 </v>
      </c>
    </row>
    <row r="18" spans="1:12" ht="39.950000000000003" customHeight="1" x14ac:dyDescent="0.25">
      <c r="A18" s="6" t="s">
        <v>581</v>
      </c>
      <c r="B18" s="7" t="s">
        <v>582</v>
      </c>
      <c r="C18" s="8">
        <v>2</v>
      </c>
      <c r="D18" s="9">
        <v>119.98</v>
      </c>
      <c r="E18" s="8" t="s">
        <v>583</v>
      </c>
      <c r="F18" s="7" t="s">
        <v>1458</v>
      </c>
      <c r="G18" s="10"/>
      <c r="H18" s="7" t="s">
        <v>1545</v>
      </c>
      <c r="I18" s="7" t="s">
        <v>1546</v>
      </c>
      <c r="J18" s="7"/>
      <c r="K18" s="7"/>
      <c r="L18" s="11" t="str">
        <f>HYPERLINK("http://slimages.macys.com/is/image/MCY/16633322 ")</f>
        <v xml:space="preserve">http://slimages.macys.com/is/image/MCY/16633322 </v>
      </c>
    </row>
    <row r="19" spans="1:12" ht="39.950000000000003" customHeight="1" x14ac:dyDescent="0.25">
      <c r="A19" s="6" t="s">
        <v>578</v>
      </c>
      <c r="B19" s="7" t="s">
        <v>579</v>
      </c>
      <c r="C19" s="8">
        <v>2</v>
      </c>
      <c r="D19" s="9">
        <v>119.98</v>
      </c>
      <c r="E19" s="8" t="s">
        <v>580</v>
      </c>
      <c r="F19" s="7" t="s">
        <v>1458</v>
      </c>
      <c r="G19" s="10"/>
      <c r="H19" s="7" t="s">
        <v>1545</v>
      </c>
      <c r="I19" s="7" t="s">
        <v>1546</v>
      </c>
      <c r="J19" s="7"/>
      <c r="K19" s="7"/>
      <c r="L19" s="11" t="str">
        <f>HYPERLINK("http://slimages.macys.com/is/image/MCY/16633321 ")</f>
        <v xml:space="preserve">http://slimages.macys.com/is/image/MCY/16633321 </v>
      </c>
    </row>
    <row r="20" spans="1:12" ht="39.950000000000003" customHeight="1" x14ac:dyDescent="0.25">
      <c r="A20" s="6" t="s">
        <v>788</v>
      </c>
      <c r="B20" s="7" t="s">
        <v>789</v>
      </c>
      <c r="C20" s="8">
        <v>1</v>
      </c>
      <c r="D20" s="9">
        <v>34.99</v>
      </c>
      <c r="E20" s="8" t="s">
        <v>790</v>
      </c>
      <c r="F20" s="7" t="s">
        <v>1495</v>
      </c>
      <c r="G20" s="10"/>
      <c r="H20" s="7" t="s">
        <v>1532</v>
      </c>
      <c r="I20" s="7" t="s">
        <v>2261</v>
      </c>
      <c r="J20" s="7" t="s">
        <v>1461</v>
      </c>
      <c r="K20" s="7" t="s">
        <v>1527</v>
      </c>
      <c r="L20" s="11" t="str">
        <f>HYPERLINK("http://slimages.macys.com/is/image/MCY/2620611 ")</f>
        <v xml:space="preserve">http://slimages.macys.com/is/image/MCY/2620611 </v>
      </c>
    </row>
    <row r="21" spans="1:12" ht="39.950000000000003" customHeight="1" x14ac:dyDescent="0.25">
      <c r="A21" s="6" t="s">
        <v>791</v>
      </c>
      <c r="B21" s="7" t="s">
        <v>792</v>
      </c>
      <c r="C21" s="8">
        <v>4</v>
      </c>
      <c r="D21" s="9">
        <v>119.96</v>
      </c>
      <c r="E21" s="8" t="s">
        <v>793</v>
      </c>
      <c r="F21" s="7" t="s">
        <v>1495</v>
      </c>
      <c r="G21" s="10"/>
      <c r="H21" s="7" t="s">
        <v>1532</v>
      </c>
      <c r="I21" s="7" t="s">
        <v>2261</v>
      </c>
      <c r="J21" s="7" t="s">
        <v>1461</v>
      </c>
      <c r="K21" s="7" t="s">
        <v>1527</v>
      </c>
      <c r="L21" s="11" t="str">
        <f>HYPERLINK("http://slimages.macys.com/is/image/MCY/2620611 ")</f>
        <v xml:space="preserve">http://slimages.macys.com/is/image/MCY/2620611 </v>
      </c>
    </row>
    <row r="22" spans="1:12" ht="39.950000000000003" customHeight="1" x14ac:dyDescent="0.25">
      <c r="A22" s="6" t="s">
        <v>794</v>
      </c>
      <c r="B22" s="7" t="s">
        <v>795</v>
      </c>
      <c r="C22" s="8">
        <v>2</v>
      </c>
      <c r="D22" s="9">
        <v>59.98</v>
      </c>
      <c r="E22" s="8" t="s">
        <v>727</v>
      </c>
      <c r="F22" s="7" t="s">
        <v>1560</v>
      </c>
      <c r="G22" s="10"/>
      <c r="H22" s="7" t="s">
        <v>1545</v>
      </c>
      <c r="I22" s="7" t="s">
        <v>1546</v>
      </c>
      <c r="J22" s="7" t="s">
        <v>1600</v>
      </c>
      <c r="K22" s="7" t="s">
        <v>1527</v>
      </c>
      <c r="L22" s="11" t="str">
        <f>HYPERLINK("http://slimages.macys.com/is/image/MCY/11320819 ")</f>
        <v xml:space="preserve">http://slimages.macys.com/is/image/MCY/11320819 </v>
      </c>
    </row>
    <row r="23" spans="1:12" ht="39.950000000000003" customHeight="1" x14ac:dyDescent="0.25">
      <c r="A23" s="6" t="s">
        <v>609</v>
      </c>
      <c r="B23" s="7" t="s">
        <v>610</v>
      </c>
      <c r="C23" s="8">
        <v>1</v>
      </c>
      <c r="D23" s="9">
        <v>29.99</v>
      </c>
      <c r="E23" s="8" t="s">
        <v>611</v>
      </c>
      <c r="F23" s="7" t="s">
        <v>1637</v>
      </c>
      <c r="G23" s="10"/>
      <c r="H23" s="7" t="s">
        <v>1545</v>
      </c>
      <c r="I23" s="7" t="s">
        <v>1546</v>
      </c>
      <c r="J23" s="7" t="s">
        <v>1461</v>
      </c>
      <c r="K23" s="7"/>
      <c r="L23" s="11" t="str">
        <f>HYPERLINK("http://slimages.macys.com/is/image/MCY/16537026 ")</f>
        <v xml:space="preserve">http://slimages.macys.com/is/image/MCY/16537026 </v>
      </c>
    </row>
    <row r="24" spans="1:12" ht="39.950000000000003" customHeight="1" x14ac:dyDescent="0.25">
      <c r="A24" s="6" t="s">
        <v>796</v>
      </c>
      <c r="B24" s="7" t="s">
        <v>797</v>
      </c>
      <c r="C24" s="8">
        <v>1</v>
      </c>
      <c r="D24" s="9">
        <v>39.99</v>
      </c>
      <c r="E24" s="8" t="s">
        <v>798</v>
      </c>
      <c r="F24" s="7" t="s">
        <v>2044</v>
      </c>
      <c r="G24" s="10"/>
      <c r="H24" s="7" t="s">
        <v>1550</v>
      </c>
      <c r="I24" s="7" t="s">
        <v>1617</v>
      </c>
      <c r="J24" s="7" t="s">
        <v>1600</v>
      </c>
      <c r="K24" s="7" t="s">
        <v>1527</v>
      </c>
      <c r="L24" s="11" t="str">
        <f>HYPERLINK("http://slimages.macys.com/is/image/MCY/8096683 ")</f>
        <v xml:space="preserve">http://slimages.macys.com/is/image/MCY/8096683 </v>
      </c>
    </row>
    <row r="25" spans="1:12" ht="39.950000000000003" customHeight="1" x14ac:dyDescent="0.25">
      <c r="A25" s="6" t="s">
        <v>799</v>
      </c>
      <c r="B25" s="7" t="s">
        <v>800</v>
      </c>
      <c r="C25" s="8">
        <v>1</v>
      </c>
      <c r="D25" s="9">
        <v>39.99</v>
      </c>
      <c r="E25" s="8" t="s">
        <v>801</v>
      </c>
      <c r="F25" s="7" t="s">
        <v>1505</v>
      </c>
      <c r="G25" s="10"/>
      <c r="H25" s="7" t="s">
        <v>1550</v>
      </c>
      <c r="I25" s="7" t="s">
        <v>1617</v>
      </c>
      <c r="J25" s="7" t="s">
        <v>1461</v>
      </c>
      <c r="K25" s="7" t="s">
        <v>1618</v>
      </c>
      <c r="L25" s="11" t="str">
        <f>HYPERLINK("http://slimages.macys.com/is/image/MCY/14312283 ")</f>
        <v xml:space="preserve">http://slimages.macys.com/is/image/MCY/14312283 </v>
      </c>
    </row>
    <row r="26" spans="1:12" ht="39.950000000000003" customHeight="1" x14ac:dyDescent="0.25">
      <c r="A26" s="6" t="s">
        <v>802</v>
      </c>
      <c r="B26" s="7" t="s">
        <v>803</v>
      </c>
      <c r="C26" s="8">
        <v>1</v>
      </c>
      <c r="D26" s="9">
        <v>39.99</v>
      </c>
      <c r="E26" s="8" t="s">
        <v>804</v>
      </c>
      <c r="F26" s="7" t="s">
        <v>1560</v>
      </c>
      <c r="G26" s="10"/>
      <c r="H26" s="7" t="s">
        <v>1550</v>
      </c>
      <c r="I26" s="7" t="s">
        <v>1617</v>
      </c>
      <c r="J26" s="7" t="s">
        <v>1461</v>
      </c>
      <c r="K26" s="7" t="s">
        <v>1527</v>
      </c>
      <c r="L26" s="11" t="str">
        <f>HYPERLINK("http://slimages.macys.com/is/image/MCY/12873905 ")</f>
        <v xml:space="preserve">http://slimages.macys.com/is/image/MCY/12873905 </v>
      </c>
    </row>
    <row r="27" spans="1:12" ht="39.950000000000003" customHeight="1" x14ac:dyDescent="0.25">
      <c r="A27" s="6" t="s">
        <v>2281</v>
      </c>
      <c r="B27" s="7" t="s">
        <v>2282</v>
      </c>
      <c r="C27" s="8">
        <v>2</v>
      </c>
      <c r="D27" s="9">
        <v>59.98</v>
      </c>
      <c r="E27" s="8" t="s">
        <v>2283</v>
      </c>
      <c r="F27" s="7" t="s">
        <v>1544</v>
      </c>
      <c r="G27" s="10"/>
      <c r="H27" s="7" t="s">
        <v>1545</v>
      </c>
      <c r="I27" s="7" t="s">
        <v>1546</v>
      </c>
      <c r="J27" s="7" t="s">
        <v>1461</v>
      </c>
      <c r="K27" s="7" t="s">
        <v>2284</v>
      </c>
      <c r="L27" s="11" t="str">
        <f>HYPERLINK("http://slimages.macys.com/is/image/MCY/14607258 ")</f>
        <v xml:space="preserve">http://slimages.macys.com/is/image/MCY/14607258 </v>
      </c>
    </row>
    <row r="28" spans="1:12" ht="39.950000000000003" customHeight="1" x14ac:dyDescent="0.25">
      <c r="A28" s="6" t="s">
        <v>805</v>
      </c>
      <c r="B28" s="7" t="s">
        <v>806</v>
      </c>
      <c r="C28" s="8">
        <v>1</v>
      </c>
      <c r="D28" s="9">
        <v>39.99</v>
      </c>
      <c r="E28" s="8" t="s">
        <v>807</v>
      </c>
      <c r="F28" s="7" t="s">
        <v>1597</v>
      </c>
      <c r="G28" s="10"/>
      <c r="H28" s="7" t="s">
        <v>1496</v>
      </c>
      <c r="I28" s="7" t="s">
        <v>1526</v>
      </c>
      <c r="J28" s="7"/>
      <c r="K28" s="7"/>
      <c r="L28" s="11" t="str">
        <f>HYPERLINK("http://slimages.macys.com/is/image/MCY/17885614 ")</f>
        <v xml:space="preserve">http://slimages.macys.com/is/image/MCY/17885614 </v>
      </c>
    </row>
    <row r="29" spans="1:12" ht="39.950000000000003" customHeight="1" x14ac:dyDescent="0.25">
      <c r="A29" s="6" t="s">
        <v>808</v>
      </c>
      <c r="B29" s="7" t="s">
        <v>809</v>
      </c>
      <c r="C29" s="8">
        <v>1</v>
      </c>
      <c r="D29" s="9">
        <v>39.99</v>
      </c>
      <c r="E29" s="8" t="s">
        <v>810</v>
      </c>
      <c r="F29" s="7" t="s">
        <v>1627</v>
      </c>
      <c r="G29" s="10"/>
      <c r="H29" s="7" t="s">
        <v>1496</v>
      </c>
      <c r="I29" s="7" t="s">
        <v>1526</v>
      </c>
      <c r="J29" s="7" t="s">
        <v>1461</v>
      </c>
      <c r="K29" s="7"/>
      <c r="L29" s="11" t="str">
        <f>HYPERLINK("http://slimages.macys.com/is/image/MCY/16358393 ")</f>
        <v xml:space="preserve">http://slimages.macys.com/is/image/MCY/16358393 </v>
      </c>
    </row>
    <row r="30" spans="1:12" ht="39.950000000000003" customHeight="1" x14ac:dyDescent="0.25">
      <c r="A30" s="6" t="s">
        <v>811</v>
      </c>
      <c r="B30" s="7" t="s">
        <v>812</v>
      </c>
      <c r="C30" s="8">
        <v>1</v>
      </c>
      <c r="D30" s="9">
        <v>39.99</v>
      </c>
      <c r="E30" s="8" t="s">
        <v>813</v>
      </c>
      <c r="F30" s="7" t="s">
        <v>1495</v>
      </c>
      <c r="G30" s="10"/>
      <c r="H30" s="7" t="s">
        <v>1532</v>
      </c>
      <c r="I30" s="7" t="s">
        <v>2261</v>
      </c>
      <c r="J30" s="7" t="s">
        <v>1461</v>
      </c>
      <c r="K30" s="7" t="s">
        <v>1527</v>
      </c>
      <c r="L30" s="11" t="str">
        <f>HYPERLINK("http://slimages.macys.com/is/image/MCY/2861144 ")</f>
        <v xml:space="preserve">http://slimages.macys.com/is/image/MCY/2861144 </v>
      </c>
    </row>
    <row r="31" spans="1:12" ht="39.950000000000003" customHeight="1" x14ac:dyDescent="0.25">
      <c r="A31" s="6" t="s">
        <v>814</v>
      </c>
      <c r="B31" s="7" t="s">
        <v>815</v>
      </c>
      <c r="C31" s="8">
        <v>1</v>
      </c>
      <c r="D31" s="9">
        <v>9.99</v>
      </c>
      <c r="E31" s="8" t="s">
        <v>816</v>
      </c>
      <c r="F31" s="7" t="s">
        <v>1627</v>
      </c>
      <c r="G31" s="10" t="s">
        <v>2177</v>
      </c>
      <c r="H31" s="7" t="s">
        <v>1605</v>
      </c>
      <c r="I31" s="7" t="s">
        <v>817</v>
      </c>
      <c r="J31" s="7" t="s">
        <v>1461</v>
      </c>
      <c r="K31" s="7" t="s">
        <v>1527</v>
      </c>
      <c r="L31" s="11" t="str">
        <f>HYPERLINK("http://slimages.macys.com/is/image/MCY/10944340 ")</f>
        <v xml:space="preserve">http://slimages.macys.com/is/image/MCY/10944340 </v>
      </c>
    </row>
    <row r="32" spans="1:12" ht="39.950000000000003" customHeight="1" x14ac:dyDescent="0.25">
      <c r="A32" s="6" t="s">
        <v>818</v>
      </c>
      <c r="B32" s="7" t="s">
        <v>819</v>
      </c>
      <c r="C32" s="8">
        <v>1</v>
      </c>
      <c r="D32" s="9">
        <v>4.99</v>
      </c>
      <c r="E32" s="8" t="s">
        <v>820</v>
      </c>
      <c r="F32" s="7" t="s">
        <v>1482</v>
      </c>
      <c r="G32" s="10" t="s">
        <v>1648</v>
      </c>
      <c r="H32" s="7" t="s">
        <v>1628</v>
      </c>
      <c r="I32" s="7" t="s">
        <v>1777</v>
      </c>
      <c r="J32" s="7"/>
      <c r="K32" s="7"/>
      <c r="L32" s="11" t="str">
        <f>HYPERLINK("http://slimages.macys.com/is/image/MCY/17309973 ")</f>
        <v xml:space="preserve">http://slimages.macys.com/is/image/MCY/17309973 </v>
      </c>
    </row>
    <row r="33" spans="1:12" ht="39.950000000000003" customHeight="1" x14ac:dyDescent="0.25">
      <c r="A33" s="6" t="s">
        <v>821</v>
      </c>
      <c r="B33" s="7" t="s">
        <v>822</v>
      </c>
      <c r="C33" s="8">
        <v>1</v>
      </c>
      <c r="D33" s="9">
        <v>229.99</v>
      </c>
      <c r="E33" s="8" t="s">
        <v>823</v>
      </c>
      <c r="F33" s="7" t="s">
        <v>1560</v>
      </c>
      <c r="G33" s="10"/>
      <c r="H33" s="7" t="s">
        <v>1545</v>
      </c>
      <c r="I33" s="7" t="s">
        <v>1546</v>
      </c>
      <c r="J33" s="7"/>
      <c r="K33" s="7"/>
      <c r="L33" s="11"/>
    </row>
    <row r="34" spans="1:12" ht="39.950000000000003" customHeight="1" x14ac:dyDescent="0.25">
      <c r="A34" s="6" t="s">
        <v>824</v>
      </c>
      <c r="B34" s="7" t="s">
        <v>825</v>
      </c>
      <c r="C34" s="8">
        <v>3</v>
      </c>
      <c r="D34" s="9">
        <v>509.97</v>
      </c>
      <c r="E34" s="8" t="s">
        <v>826</v>
      </c>
      <c r="F34" s="7" t="s">
        <v>1560</v>
      </c>
      <c r="G34" s="10"/>
      <c r="H34" s="7" t="s">
        <v>1545</v>
      </c>
      <c r="I34" s="7" t="s">
        <v>1546</v>
      </c>
      <c r="J34" s="7"/>
      <c r="K34" s="7"/>
      <c r="L34" s="11"/>
    </row>
    <row r="35" spans="1:12" ht="39.950000000000003" customHeight="1" x14ac:dyDescent="0.25">
      <c r="A35" s="6"/>
      <c r="B35" s="7"/>
      <c r="C35" s="8"/>
      <c r="D35" s="9"/>
      <c r="E35" s="8"/>
      <c r="F35" s="7"/>
      <c r="G35" s="10"/>
      <c r="H35" s="7"/>
      <c r="I35" s="7"/>
      <c r="J35" s="7"/>
      <c r="K35" s="7"/>
      <c r="L35" s="11"/>
    </row>
    <row r="36" spans="1:12" ht="39.950000000000003" customHeight="1" x14ac:dyDescent="0.25">
      <c r="A36" s="6"/>
      <c r="B36" s="7"/>
      <c r="C36" s="8"/>
      <c r="D36" s="9"/>
      <c r="E36" s="8"/>
      <c r="F36" s="7"/>
      <c r="G36" s="10"/>
      <c r="H36" s="7"/>
      <c r="I36" s="7"/>
      <c r="J36" s="7"/>
      <c r="K36" s="7"/>
      <c r="L36" s="11"/>
    </row>
    <row r="37" spans="1:12" ht="39.950000000000003" customHeight="1" x14ac:dyDescent="0.25">
      <c r="A37" s="6"/>
      <c r="B37" s="7"/>
      <c r="C37" s="8"/>
      <c r="D37" s="9"/>
      <c r="E37" s="8"/>
      <c r="F37" s="7"/>
      <c r="G37" s="10"/>
      <c r="H37" s="7"/>
      <c r="I37" s="7"/>
      <c r="J37" s="7"/>
      <c r="K37" s="7"/>
      <c r="L37" s="11"/>
    </row>
    <row r="38" spans="1:12" ht="39.950000000000003" customHeight="1" x14ac:dyDescent="0.25">
      <c r="A38" s="6"/>
      <c r="B38" s="7"/>
      <c r="C38" s="8"/>
      <c r="D38" s="9"/>
      <c r="E38" s="8"/>
      <c r="F38" s="7"/>
      <c r="G38" s="10"/>
      <c r="H38" s="7"/>
      <c r="I38" s="7"/>
      <c r="J38" s="7"/>
      <c r="K38" s="7"/>
      <c r="L38" s="11"/>
    </row>
    <row r="39" spans="1:12" ht="39.950000000000003" customHeight="1" x14ac:dyDescent="0.25">
      <c r="A39" s="6"/>
      <c r="B39" s="7"/>
      <c r="C39" s="8"/>
      <c r="D39" s="9"/>
      <c r="E39" s="8"/>
      <c r="F39" s="7"/>
      <c r="G39" s="10"/>
      <c r="H39" s="7"/>
      <c r="I39" s="7"/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827</v>
      </c>
      <c r="B2" s="7" t="s">
        <v>828</v>
      </c>
      <c r="C2" s="8">
        <v>2</v>
      </c>
      <c r="D2" s="9">
        <v>339.98</v>
      </c>
      <c r="E2" s="8" t="s">
        <v>829</v>
      </c>
      <c r="F2" s="7" t="s">
        <v>1495</v>
      </c>
      <c r="G2" s="10" t="s">
        <v>2334</v>
      </c>
      <c r="H2" s="7" t="s">
        <v>1467</v>
      </c>
      <c r="I2" s="7" t="s">
        <v>1712</v>
      </c>
      <c r="J2" s="7" t="s">
        <v>1461</v>
      </c>
      <c r="K2" s="7" t="s">
        <v>830</v>
      </c>
      <c r="L2" s="11" t="str">
        <f>HYPERLINK("http://slimages.macys.com/is/image/MCY/9796168 ")</f>
        <v xml:space="preserve">http://slimages.macys.com/is/image/MCY/9796168 </v>
      </c>
    </row>
    <row r="3" spans="1:12" ht="39.950000000000003" customHeight="1" x14ac:dyDescent="0.25">
      <c r="A3" s="6" t="s">
        <v>831</v>
      </c>
      <c r="B3" s="7" t="s">
        <v>832</v>
      </c>
      <c r="C3" s="8">
        <v>1</v>
      </c>
      <c r="D3" s="9">
        <v>149.99</v>
      </c>
      <c r="E3" s="8" t="s">
        <v>833</v>
      </c>
      <c r="F3" s="7" t="s">
        <v>1965</v>
      </c>
      <c r="G3" s="10"/>
      <c r="H3" s="7" t="s">
        <v>1545</v>
      </c>
      <c r="I3" s="7" t="s">
        <v>1546</v>
      </c>
      <c r="J3" s="7" t="s">
        <v>1461</v>
      </c>
      <c r="K3" s="7"/>
      <c r="L3" s="11" t="str">
        <f>HYPERLINK("http://slimages.macys.com/is/image/MCY/16633325 ")</f>
        <v xml:space="preserve">http://slimages.macys.com/is/image/MCY/16633325 </v>
      </c>
    </row>
    <row r="4" spans="1:12" ht="39.950000000000003" customHeight="1" x14ac:dyDescent="0.25">
      <c r="A4" s="6" t="s">
        <v>834</v>
      </c>
      <c r="B4" s="7" t="s">
        <v>835</v>
      </c>
      <c r="C4" s="8">
        <v>1</v>
      </c>
      <c r="D4" s="9">
        <v>149.99</v>
      </c>
      <c r="E4" s="8" t="s">
        <v>836</v>
      </c>
      <c r="F4" s="7" t="s">
        <v>1604</v>
      </c>
      <c r="G4" s="10"/>
      <c r="H4" s="7" t="s">
        <v>1545</v>
      </c>
      <c r="I4" s="7" t="s">
        <v>1546</v>
      </c>
      <c r="J4" s="7" t="s">
        <v>1461</v>
      </c>
      <c r="K4" s="7" t="s">
        <v>837</v>
      </c>
      <c r="L4" s="11" t="str">
        <f>HYPERLINK("http://slimages.macys.com/is/image/MCY/16633326 ")</f>
        <v xml:space="preserve">http://slimages.macys.com/is/image/MCY/16633326 </v>
      </c>
    </row>
    <row r="5" spans="1:12" ht="39.950000000000003" customHeight="1" x14ac:dyDescent="0.25">
      <c r="A5" s="6" t="s">
        <v>838</v>
      </c>
      <c r="B5" s="7" t="s">
        <v>839</v>
      </c>
      <c r="C5" s="8">
        <v>1</v>
      </c>
      <c r="D5" s="9">
        <v>81.99</v>
      </c>
      <c r="E5" s="8" t="s">
        <v>840</v>
      </c>
      <c r="F5" s="7" t="s">
        <v>1458</v>
      </c>
      <c r="G5" s="10"/>
      <c r="H5" s="7" t="s">
        <v>1506</v>
      </c>
      <c r="I5" s="7" t="s">
        <v>841</v>
      </c>
      <c r="J5" s="7" t="s">
        <v>1461</v>
      </c>
      <c r="K5" s="7" t="s">
        <v>842</v>
      </c>
      <c r="L5" s="11" t="str">
        <f>HYPERLINK("http://slimages.macys.com/is/image/MCY/11704463 ")</f>
        <v xml:space="preserve">http://slimages.macys.com/is/image/MCY/11704463 </v>
      </c>
    </row>
    <row r="6" spans="1:12" ht="39.950000000000003" customHeight="1" x14ac:dyDescent="0.25">
      <c r="A6" s="6" t="s">
        <v>843</v>
      </c>
      <c r="B6" s="7" t="s">
        <v>844</v>
      </c>
      <c r="C6" s="8">
        <v>1</v>
      </c>
      <c r="D6" s="9">
        <v>93.99</v>
      </c>
      <c r="E6" s="8" t="s">
        <v>845</v>
      </c>
      <c r="F6" s="7" t="s">
        <v>1821</v>
      </c>
      <c r="G6" s="10"/>
      <c r="H6" s="7" t="s">
        <v>1506</v>
      </c>
      <c r="I6" s="7" t="s">
        <v>1521</v>
      </c>
      <c r="J6" s="7" t="s">
        <v>1461</v>
      </c>
      <c r="K6" s="7" t="s">
        <v>1564</v>
      </c>
      <c r="L6" s="11" t="str">
        <f>HYPERLINK("http://slimages.macys.com/is/image/MCY/11825072 ")</f>
        <v xml:space="preserve">http://slimages.macys.com/is/image/MCY/11825072 </v>
      </c>
    </row>
    <row r="7" spans="1:12" ht="39.950000000000003" customHeight="1" x14ac:dyDescent="0.25">
      <c r="A7" s="6" t="s">
        <v>846</v>
      </c>
      <c r="B7" s="7" t="s">
        <v>847</v>
      </c>
      <c r="C7" s="8">
        <v>1</v>
      </c>
      <c r="D7" s="9">
        <v>78.989999999999995</v>
      </c>
      <c r="E7" s="8" t="s">
        <v>848</v>
      </c>
      <c r="F7" s="7"/>
      <c r="G7" s="10" t="s">
        <v>1466</v>
      </c>
      <c r="H7" s="7" t="s">
        <v>1664</v>
      </c>
      <c r="I7" s="7" t="s">
        <v>1822</v>
      </c>
      <c r="J7" s="7" t="s">
        <v>1461</v>
      </c>
      <c r="K7" s="7" t="s">
        <v>1823</v>
      </c>
      <c r="L7" s="11" t="str">
        <f>HYPERLINK("http://slimages.macys.com/is/image/MCY/10974209 ")</f>
        <v xml:space="preserve">http://slimages.macys.com/is/image/MCY/10974209 </v>
      </c>
    </row>
    <row r="8" spans="1:12" ht="39.950000000000003" customHeight="1" x14ac:dyDescent="0.25">
      <c r="A8" s="6" t="s">
        <v>849</v>
      </c>
      <c r="B8" s="7" t="s">
        <v>850</v>
      </c>
      <c r="C8" s="8">
        <v>1</v>
      </c>
      <c r="D8" s="9">
        <v>49.99</v>
      </c>
      <c r="E8" s="8" t="s">
        <v>851</v>
      </c>
      <c r="F8" s="7" t="s">
        <v>1627</v>
      </c>
      <c r="G8" s="10"/>
      <c r="H8" s="7" t="s">
        <v>1764</v>
      </c>
      <c r="I8" s="7" t="s">
        <v>2242</v>
      </c>
      <c r="J8" s="7" t="s">
        <v>1461</v>
      </c>
      <c r="K8" s="7"/>
      <c r="L8" s="11" t="str">
        <f>HYPERLINK("http://slimages.macys.com/is/image/MCY/9353119 ")</f>
        <v xml:space="preserve">http://slimages.macys.com/is/image/MCY/9353119 </v>
      </c>
    </row>
    <row r="9" spans="1:12" ht="39.950000000000003" customHeight="1" x14ac:dyDescent="0.25">
      <c r="A9" s="6" t="s">
        <v>852</v>
      </c>
      <c r="B9" s="7" t="s">
        <v>853</v>
      </c>
      <c r="C9" s="8">
        <v>1</v>
      </c>
      <c r="D9" s="9">
        <v>79.989999999999995</v>
      </c>
      <c r="E9" s="8" t="s">
        <v>854</v>
      </c>
      <c r="F9" s="7" t="s">
        <v>1458</v>
      </c>
      <c r="G9" s="10"/>
      <c r="H9" s="7" t="s">
        <v>1467</v>
      </c>
      <c r="I9" s="7" t="s">
        <v>1468</v>
      </c>
      <c r="J9" s="7" t="s">
        <v>1461</v>
      </c>
      <c r="K9" s="7" t="s">
        <v>1527</v>
      </c>
      <c r="L9" s="11" t="str">
        <f>HYPERLINK("http://slimages.macys.com/is/image/MCY/9320893 ")</f>
        <v xml:space="preserve">http://slimages.macys.com/is/image/MCY/9320893 </v>
      </c>
    </row>
    <row r="10" spans="1:12" ht="39.950000000000003" customHeight="1" x14ac:dyDescent="0.25">
      <c r="A10" s="6" t="s">
        <v>779</v>
      </c>
      <c r="B10" s="7" t="s">
        <v>780</v>
      </c>
      <c r="C10" s="8">
        <v>1</v>
      </c>
      <c r="D10" s="9">
        <v>79.989999999999995</v>
      </c>
      <c r="E10" s="8" t="s">
        <v>781</v>
      </c>
      <c r="F10" s="7" t="s">
        <v>1458</v>
      </c>
      <c r="G10" s="10"/>
      <c r="H10" s="7" t="s">
        <v>1467</v>
      </c>
      <c r="I10" s="7" t="s">
        <v>1712</v>
      </c>
      <c r="J10" s="7" t="s">
        <v>1461</v>
      </c>
      <c r="K10" s="7"/>
      <c r="L10" s="11" t="str">
        <f>HYPERLINK("http://slimages.macys.com/is/image/MCY/12873899 ")</f>
        <v xml:space="preserve">http://slimages.macys.com/is/image/MCY/12873899 </v>
      </c>
    </row>
    <row r="11" spans="1:12" ht="39.950000000000003" customHeight="1" x14ac:dyDescent="0.25">
      <c r="A11" s="6" t="s">
        <v>776</v>
      </c>
      <c r="B11" s="7" t="s">
        <v>777</v>
      </c>
      <c r="C11" s="8">
        <v>2</v>
      </c>
      <c r="D11" s="9">
        <v>159.97999999999999</v>
      </c>
      <c r="E11" s="8" t="s">
        <v>778</v>
      </c>
      <c r="F11" s="7" t="s">
        <v>1458</v>
      </c>
      <c r="G11" s="10"/>
      <c r="H11" s="7" t="s">
        <v>1467</v>
      </c>
      <c r="I11" s="7" t="s">
        <v>1712</v>
      </c>
      <c r="J11" s="7" t="s">
        <v>1461</v>
      </c>
      <c r="K11" s="7"/>
      <c r="L11" s="11" t="str">
        <f>HYPERLINK("http://slimages.macys.com/is/image/MCY/12873898 ")</f>
        <v xml:space="preserve">http://slimages.macys.com/is/image/MCY/12873898 </v>
      </c>
    </row>
    <row r="12" spans="1:12" ht="39.950000000000003" customHeight="1" x14ac:dyDescent="0.25">
      <c r="A12" s="6" t="s">
        <v>2221</v>
      </c>
      <c r="B12" s="7" t="s">
        <v>2222</v>
      </c>
      <c r="C12" s="8">
        <v>4</v>
      </c>
      <c r="D12" s="9">
        <v>159.96</v>
      </c>
      <c r="E12" s="8" t="s">
        <v>2223</v>
      </c>
      <c r="F12" s="7" t="s">
        <v>2224</v>
      </c>
      <c r="G12" s="10"/>
      <c r="H12" s="7" t="s">
        <v>1605</v>
      </c>
      <c r="I12" s="7" t="s">
        <v>2225</v>
      </c>
      <c r="J12" s="7"/>
      <c r="K12" s="7"/>
      <c r="L12" s="11" t="str">
        <f>HYPERLINK("http://slimages.macys.com/is/image/MCY/17804058 ")</f>
        <v xml:space="preserve">http://slimages.macys.com/is/image/MCY/17804058 </v>
      </c>
    </row>
    <row r="13" spans="1:12" ht="39.950000000000003" customHeight="1" x14ac:dyDescent="0.25">
      <c r="A13" s="6" t="s">
        <v>855</v>
      </c>
      <c r="B13" s="7" t="s">
        <v>856</v>
      </c>
      <c r="C13" s="8">
        <v>2</v>
      </c>
      <c r="D13" s="9">
        <v>79.98</v>
      </c>
      <c r="E13" s="8" t="s">
        <v>857</v>
      </c>
      <c r="F13" s="7" t="s">
        <v>2224</v>
      </c>
      <c r="G13" s="10"/>
      <c r="H13" s="7" t="s">
        <v>1605</v>
      </c>
      <c r="I13" s="7" t="s">
        <v>2225</v>
      </c>
      <c r="J13" s="7"/>
      <c r="K13" s="7"/>
      <c r="L13" s="11" t="str">
        <f>HYPERLINK("http://slimages.macys.com/is/image/MCY/17804035 ")</f>
        <v xml:space="preserve">http://slimages.macys.com/is/image/MCY/17804035 </v>
      </c>
    </row>
    <row r="14" spans="1:12" ht="39.950000000000003" customHeight="1" x14ac:dyDescent="0.25">
      <c r="A14" s="6" t="s">
        <v>858</v>
      </c>
      <c r="B14" s="7" t="s">
        <v>859</v>
      </c>
      <c r="C14" s="8">
        <v>1</v>
      </c>
      <c r="D14" s="9">
        <v>49.99</v>
      </c>
      <c r="E14" s="8" t="s">
        <v>860</v>
      </c>
      <c r="F14" s="7" t="s">
        <v>1711</v>
      </c>
      <c r="G14" s="10"/>
      <c r="H14" s="7" t="s">
        <v>1764</v>
      </c>
      <c r="I14" s="7" t="s">
        <v>861</v>
      </c>
      <c r="J14" s="7" t="s">
        <v>1461</v>
      </c>
      <c r="K14" s="7" t="s">
        <v>862</v>
      </c>
      <c r="L14" s="11" t="str">
        <f>HYPERLINK("http://slimages.macys.com/is/image/MCY/13912726 ")</f>
        <v xml:space="preserve">http://slimages.macys.com/is/image/MCY/13912726 </v>
      </c>
    </row>
    <row r="15" spans="1:12" ht="39.950000000000003" customHeight="1" x14ac:dyDescent="0.25">
      <c r="A15" s="6" t="s">
        <v>863</v>
      </c>
      <c r="B15" s="7" t="s">
        <v>864</v>
      </c>
      <c r="C15" s="8">
        <v>1</v>
      </c>
      <c r="D15" s="9">
        <v>39.99</v>
      </c>
      <c r="E15" s="8" t="s">
        <v>865</v>
      </c>
      <c r="F15" s="7" t="s">
        <v>1519</v>
      </c>
      <c r="G15" s="10"/>
      <c r="H15" s="7" t="s">
        <v>2089</v>
      </c>
      <c r="I15" s="7" t="s">
        <v>2090</v>
      </c>
      <c r="J15" s="7" t="s">
        <v>1461</v>
      </c>
      <c r="K15" s="7" t="s">
        <v>1527</v>
      </c>
      <c r="L15" s="11" t="str">
        <f>HYPERLINK("http://slimages.macys.com/is/image/MCY/13949182 ")</f>
        <v xml:space="preserve">http://slimages.macys.com/is/image/MCY/13949182 </v>
      </c>
    </row>
    <row r="16" spans="1:12" ht="39.950000000000003" customHeight="1" x14ac:dyDescent="0.25">
      <c r="A16" s="6" t="s">
        <v>866</v>
      </c>
      <c r="B16" s="7" t="s">
        <v>867</v>
      </c>
      <c r="C16" s="8">
        <v>3</v>
      </c>
      <c r="D16" s="9">
        <v>239.97</v>
      </c>
      <c r="E16" s="8" t="s">
        <v>868</v>
      </c>
      <c r="F16" s="7" t="s">
        <v>1597</v>
      </c>
      <c r="G16" s="10"/>
      <c r="H16" s="7" t="s">
        <v>1550</v>
      </c>
      <c r="I16" s="7" t="s">
        <v>1790</v>
      </c>
      <c r="J16" s="7" t="s">
        <v>1461</v>
      </c>
      <c r="K16" s="7" t="s">
        <v>869</v>
      </c>
      <c r="L16" s="11" t="str">
        <f>HYPERLINK("http://slimages.macys.com/is/image/MCY/14731378 ")</f>
        <v xml:space="preserve">http://slimages.macys.com/is/image/MCY/14731378 </v>
      </c>
    </row>
    <row r="17" spans="1:12" ht="39.950000000000003" customHeight="1" x14ac:dyDescent="0.25">
      <c r="A17" s="6" t="s">
        <v>704</v>
      </c>
      <c r="B17" s="7" t="s">
        <v>705</v>
      </c>
      <c r="C17" s="8">
        <v>2</v>
      </c>
      <c r="D17" s="9">
        <v>79.98</v>
      </c>
      <c r="E17" s="8" t="s">
        <v>706</v>
      </c>
      <c r="F17" s="7" t="s">
        <v>1597</v>
      </c>
      <c r="G17" s="10"/>
      <c r="H17" s="7" t="s">
        <v>1605</v>
      </c>
      <c r="I17" s="7" t="s">
        <v>1822</v>
      </c>
      <c r="J17" s="7"/>
      <c r="K17" s="7"/>
      <c r="L17" s="11" t="str">
        <f>HYPERLINK("http://slimages.macys.com/is/image/MCY/17724992 ")</f>
        <v xml:space="preserve">http://slimages.macys.com/is/image/MCY/17724992 </v>
      </c>
    </row>
    <row r="18" spans="1:12" ht="39.950000000000003" customHeight="1" x14ac:dyDescent="0.25">
      <c r="A18" s="6" t="s">
        <v>2230</v>
      </c>
      <c r="B18" s="7" t="s">
        <v>2231</v>
      </c>
      <c r="C18" s="8">
        <v>5</v>
      </c>
      <c r="D18" s="9">
        <v>199.95</v>
      </c>
      <c r="E18" s="8" t="s">
        <v>2232</v>
      </c>
      <c r="F18" s="7" t="s">
        <v>1458</v>
      </c>
      <c r="G18" s="10"/>
      <c r="H18" s="7" t="s">
        <v>1605</v>
      </c>
      <c r="I18" s="7" t="s">
        <v>1822</v>
      </c>
      <c r="J18" s="7"/>
      <c r="K18" s="7"/>
      <c r="L18" s="11" t="str">
        <f>HYPERLINK("http://slimages.macys.com/is/image/MCY/17725003 ")</f>
        <v xml:space="preserve">http://slimages.macys.com/is/image/MCY/17725003 </v>
      </c>
    </row>
    <row r="19" spans="1:12" ht="39.950000000000003" customHeight="1" x14ac:dyDescent="0.25">
      <c r="A19" s="6" t="s">
        <v>870</v>
      </c>
      <c r="B19" s="7" t="s">
        <v>871</v>
      </c>
      <c r="C19" s="8">
        <v>1</v>
      </c>
      <c r="D19" s="9">
        <v>35.99</v>
      </c>
      <c r="E19" s="8" t="s">
        <v>872</v>
      </c>
      <c r="F19" s="7" t="s">
        <v>1877</v>
      </c>
      <c r="G19" s="10"/>
      <c r="H19" s="7" t="s">
        <v>1506</v>
      </c>
      <c r="I19" s="7" t="s">
        <v>1521</v>
      </c>
      <c r="J19" s="7" t="s">
        <v>1461</v>
      </c>
      <c r="K19" s="7" t="s">
        <v>873</v>
      </c>
      <c r="L19" s="11" t="str">
        <f>HYPERLINK("http://slimages.macys.com/is/image/MCY/11923718 ")</f>
        <v xml:space="preserve">http://slimages.macys.com/is/image/MCY/11923718 </v>
      </c>
    </row>
    <row r="20" spans="1:12" ht="39.950000000000003" customHeight="1" x14ac:dyDescent="0.25">
      <c r="A20" s="6" t="s">
        <v>874</v>
      </c>
      <c r="B20" s="7" t="s">
        <v>875</v>
      </c>
      <c r="C20" s="8">
        <v>1</v>
      </c>
      <c r="D20" s="9">
        <v>39.99</v>
      </c>
      <c r="E20" s="8" t="s">
        <v>876</v>
      </c>
      <c r="F20" s="7" t="s">
        <v>1519</v>
      </c>
      <c r="G20" s="10"/>
      <c r="H20" s="7" t="s">
        <v>2089</v>
      </c>
      <c r="I20" s="7" t="s">
        <v>2090</v>
      </c>
      <c r="J20" s="7" t="s">
        <v>1461</v>
      </c>
      <c r="K20" s="7" t="s">
        <v>1618</v>
      </c>
      <c r="L20" s="11" t="str">
        <f>HYPERLINK("http://slimages.macys.com/is/image/MCY/13949182 ")</f>
        <v xml:space="preserve">http://slimages.macys.com/is/image/MCY/13949182 </v>
      </c>
    </row>
    <row r="21" spans="1:12" ht="39.950000000000003" customHeight="1" x14ac:dyDescent="0.25">
      <c r="A21" s="6" t="s">
        <v>877</v>
      </c>
      <c r="B21" s="7" t="s">
        <v>878</v>
      </c>
      <c r="C21" s="8">
        <v>3</v>
      </c>
      <c r="D21" s="9">
        <v>119.97</v>
      </c>
      <c r="E21" s="8">
        <v>100109274</v>
      </c>
      <c r="F21" s="7" t="s">
        <v>1597</v>
      </c>
      <c r="G21" s="10"/>
      <c r="H21" s="7" t="s">
        <v>1598</v>
      </c>
      <c r="I21" s="7" t="s">
        <v>1942</v>
      </c>
      <c r="J21" s="7"/>
      <c r="K21" s="7"/>
      <c r="L21" s="11" t="str">
        <f>HYPERLINK("http://slimages.macys.com/is/image/MCY/17902270 ")</f>
        <v xml:space="preserve">http://slimages.macys.com/is/image/MCY/17902270 </v>
      </c>
    </row>
    <row r="22" spans="1:12" ht="39.950000000000003" customHeight="1" x14ac:dyDescent="0.25">
      <c r="A22" s="6" t="s">
        <v>788</v>
      </c>
      <c r="B22" s="7" t="s">
        <v>789</v>
      </c>
      <c r="C22" s="8">
        <v>3</v>
      </c>
      <c r="D22" s="9">
        <v>104.97</v>
      </c>
      <c r="E22" s="8" t="s">
        <v>790</v>
      </c>
      <c r="F22" s="7" t="s">
        <v>1495</v>
      </c>
      <c r="G22" s="10"/>
      <c r="H22" s="7" t="s">
        <v>1532</v>
      </c>
      <c r="I22" s="7" t="s">
        <v>2261</v>
      </c>
      <c r="J22" s="7" t="s">
        <v>1461</v>
      </c>
      <c r="K22" s="7" t="s">
        <v>1527</v>
      </c>
      <c r="L22" s="11" t="str">
        <f>HYPERLINK("http://slimages.macys.com/is/image/MCY/2620611 ")</f>
        <v xml:space="preserve">http://slimages.macys.com/is/image/MCY/2620611 </v>
      </c>
    </row>
    <row r="23" spans="1:12" ht="39.950000000000003" customHeight="1" x14ac:dyDescent="0.25">
      <c r="A23" s="6" t="s">
        <v>879</v>
      </c>
      <c r="B23" s="7" t="s">
        <v>880</v>
      </c>
      <c r="C23" s="8">
        <v>1</v>
      </c>
      <c r="D23" s="9">
        <v>59.99</v>
      </c>
      <c r="E23" s="8" t="s">
        <v>881</v>
      </c>
      <c r="F23" s="7" t="s">
        <v>1554</v>
      </c>
      <c r="G23" s="10" t="s">
        <v>882</v>
      </c>
      <c r="H23" s="7" t="s">
        <v>2217</v>
      </c>
      <c r="I23" s="7" t="s">
        <v>1751</v>
      </c>
      <c r="J23" s="7" t="s">
        <v>1461</v>
      </c>
      <c r="K23" s="7" t="s">
        <v>1527</v>
      </c>
      <c r="L23" s="11" t="str">
        <f>HYPERLINK("http://slimages.macys.com/is/image/MCY/3534387 ")</f>
        <v xml:space="preserve">http://slimages.macys.com/is/image/MCY/3534387 </v>
      </c>
    </row>
    <row r="24" spans="1:12" ht="39.950000000000003" customHeight="1" x14ac:dyDescent="0.25">
      <c r="A24" s="6" t="s">
        <v>2262</v>
      </c>
      <c r="B24" s="7" t="s">
        <v>2263</v>
      </c>
      <c r="C24" s="8">
        <v>1</v>
      </c>
      <c r="D24" s="9">
        <v>23.99</v>
      </c>
      <c r="E24" s="8" t="s">
        <v>2264</v>
      </c>
      <c r="F24" s="7" t="s">
        <v>1762</v>
      </c>
      <c r="G24" s="10"/>
      <c r="H24" s="7" t="s">
        <v>1506</v>
      </c>
      <c r="I24" s="7" t="s">
        <v>1966</v>
      </c>
      <c r="J24" s="7"/>
      <c r="K24" s="7"/>
      <c r="L24" s="11" t="str">
        <f>HYPERLINK("http://slimages.macys.com/is/image/MCY/17566490 ")</f>
        <v xml:space="preserve">http://slimages.macys.com/is/image/MCY/17566490 </v>
      </c>
    </row>
    <row r="25" spans="1:12" ht="39.950000000000003" customHeight="1" x14ac:dyDescent="0.25">
      <c r="A25" s="6" t="s">
        <v>791</v>
      </c>
      <c r="B25" s="7" t="s">
        <v>792</v>
      </c>
      <c r="C25" s="8">
        <v>4</v>
      </c>
      <c r="D25" s="9">
        <v>119.96</v>
      </c>
      <c r="E25" s="8" t="s">
        <v>793</v>
      </c>
      <c r="F25" s="7" t="s">
        <v>1495</v>
      </c>
      <c r="G25" s="10"/>
      <c r="H25" s="7" t="s">
        <v>1532</v>
      </c>
      <c r="I25" s="7" t="s">
        <v>2261</v>
      </c>
      <c r="J25" s="7" t="s">
        <v>1461</v>
      </c>
      <c r="K25" s="7" t="s">
        <v>1527</v>
      </c>
      <c r="L25" s="11" t="str">
        <f>HYPERLINK("http://slimages.macys.com/is/image/MCY/2620611 ")</f>
        <v xml:space="preserve">http://slimages.macys.com/is/image/MCY/2620611 </v>
      </c>
    </row>
    <row r="26" spans="1:12" ht="39.950000000000003" customHeight="1" x14ac:dyDescent="0.25">
      <c r="A26" s="6" t="s">
        <v>714</v>
      </c>
      <c r="B26" s="7" t="s">
        <v>715</v>
      </c>
      <c r="C26" s="8">
        <v>1</v>
      </c>
      <c r="D26" s="9">
        <v>31.99</v>
      </c>
      <c r="E26" s="8">
        <v>12495</v>
      </c>
      <c r="F26" s="7" t="s">
        <v>1877</v>
      </c>
      <c r="G26" s="10" t="s">
        <v>2241</v>
      </c>
      <c r="H26" s="7" t="s">
        <v>1506</v>
      </c>
      <c r="I26" s="7" t="s">
        <v>2269</v>
      </c>
      <c r="J26" s="7" t="s">
        <v>1461</v>
      </c>
      <c r="K26" s="7" t="s">
        <v>1564</v>
      </c>
      <c r="L26" s="11" t="str">
        <f>HYPERLINK("http://slimages.macys.com/is/image/MCY/11837438 ")</f>
        <v xml:space="preserve">http://slimages.macys.com/is/image/MCY/11837438 </v>
      </c>
    </row>
    <row r="27" spans="1:12" ht="39.950000000000003" customHeight="1" x14ac:dyDescent="0.25">
      <c r="A27" s="6" t="s">
        <v>883</v>
      </c>
      <c r="B27" s="7" t="s">
        <v>884</v>
      </c>
      <c r="C27" s="8">
        <v>1</v>
      </c>
      <c r="D27" s="9">
        <v>39.99</v>
      </c>
      <c r="E27" s="8" t="s">
        <v>885</v>
      </c>
      <c r="F27" s="7" t="s">
        <v>1627</v>
      </c>
      <c r="G27" s="10"/>
      <c r="H27" s="7" t="s">
        <v>2217</v>
      </c>
      <c r="I27" s="7" t="s">
        <v>1751</v>
      </c>
      <c r="J27" s="7" t="s">
        <v>1461</v>
      </c>
      <c r="K27" s="7" t="s">
        <v>1527</v>
      </c>
      <c r="L27" s="11" t="str">
        <f>HYPERLINK("http://slimages.macys.com/is/image/MCY/3614592 ")</f>
        <v xml:space="preserve">http://slimages.macys.com/is/image/MCY/3614592 </v>
      </c>
    </row>
    <row r="28" spans="1:12" ht="39.950000000000003" customHeight="1" x14ac:dyDescent="0.25">
      <c r="A28" s="6" t="s">
        <v>799</v>
      </c>
      <c r="B28" s="7" t="s">
        <v>800</v>
      </c>
      <c r="C28" s="8">
        <v>9</v>
      </c>
      <c r="D28" s="9">
        <v>359.91</v>
      </c>
      <c r="E28" s="8" t="s">
        <v>801</v>
      </c>
      <c r="F28" s="7" t="s">
        <v>1505</v>
      </c>
      <c r="G28" s="10"/>
      <c r="H28" s="7" t="s">
        <v>1550</v>
      </c>
      <c r="I28" s="7" t="s">
        <v>1617</v>
      </c>
      <c r="J28" s="7" t="s">
        <v>1461</v>
      </c>
      <c r="K28" s="7" t="s">
        <v>1618</v>
      </c>
      <c r="L28" s="11" t="str">
        <f>HYPERLINK("http://slimages.macys.com/is/image/MCY/14312283 ")</f>
        <v xml:space="preserve">http://slimages.macys.com/is/image/MCY/14312283 </v>
      </c>
    </row>
    <row r="29" spans="1:12" ht="39.950000000000003" customHeight="1" x14ac:dyDescent="0.25">
      <c r="A29" s="6" t="s">
        <v>886</v>
      </c>
      <c r="B29" s="7" t="s">
        <v>887</v>
      </c>
      <c r="C29" s="8">
        <v>3</v>
      </c>
      <c r="D29" s="9">
        <v>119.97</v>
      </c>
      <c r="E29" s="8" t="s">
        <v>888</v>
      </c>
      <c r="F29" s="7" t="s">
        <v>1519</v>
      </c>
      <c r="G29" s="10"/>
      <c r="H29" s="7" t="s">
        <v>1550</v>
      </c>
      <c r="I29" s="7" t="s">
        <v>1617</v>
      </c>
      <c r="J29" s="7" t="s">
        <v>1461</v>
      </c>
      <c r="K29" s="7"/>
      <c r="L29" s="11" t="str">
        <f>HYPERLINK("http://slimages.macys.com/is/image/MCY/11640178 ")</f>
        <v xml:space="preserve">http://slimages.macys.com/is/image/MCY/11640178 </v>
      </c>
    </row>
    <row r="30" spans="1:12" ht="39.950000000000003" customHeight="1" x14ac:dyDescent="0.25">
      <c r="A30" s="6" t="s">
        <v>805</v>
      </c>
      <c r="B30" s="7" t="s">
        <v>806</v>
      </c>
      <c r="C30" s="8">
        <v>2</v>
      </c>
      <c r="D30" s="9">
        <v>79.98</v>
      </c>
      <c r="E30" s="8" t="s">
        <v>807</v>
      </c>
      <c r="F30" s="7" t="s">
        <v>1597</v>
      </c>
      <c r="G30" s="10"/>
      <c r="H30" s="7" t="s">
        <v>1496</v>
      </c>
      <c r="I30" s="7" t="s">
        <v>1526</v>
      </c>
      <c r="J30" s="7"/>
      <c r="K30" s="7"/>
      <c r="L30" s="11" t="str">
        <f>HYPERLINK("http://slimages.macys.com/is/image/MCY/17885614 ")</f>
        <v xml:space="preserve">http://slimages.macys.com/is/image/MCY/17885614 </v>
      </c>
    </row>
    <row r="31" spans="1:12" ht="39.950000000000003" customHeight="1" x14ac:dyDescent="0.25">
      <c r="A31" s="6" t="s">
        <v>2285</v>
      </c>
      <c r="B31" s="7" t="s">
        <v>2286</v>
      </c>
      <c r="C31" s="8">
        <v>1</v>
      </c>
      <c r="D31" s="9">
        <v>14.99</v>
      </c>
      <c r="E31" s="8" t="s">
        <v>2287</v>
      </c>
      <c r="F31" s="7" t="s">
        <v>1651</v>
      </c>
      <c r="G31" s="10" t="s">
        <v>1561</v>
      </c>
      <c r="H31" s="7" t="s">
        <v>1605</v>
      </c>
      <c r="I31" s="7" t="s">
        <v>1839</v>
      </c>
      <c r="J31" s="7"/>
      <c r="K31" s="7"/>
      <c r="L31" s="11" t="str">
        <f>HYPERLINK("http://slimages.macys.com/is/image/MCY/17719639 ")</f>
        <v xml:space="preserve">http://slimages.macys.com/is/image/MCY/17719639 </v>
      </c>
    </row>
    <row r="32" spans="1:12" ht="39.950000000000003" customHeight="1" x14ac:dyDescent="0.25">
      <c r="A32" s="6" t="s">
        <v>808</v>
      </c>
      <c r="B32" s="7" t="s">
        <v>809</v>
      </c>
      <c r="C32" s="8">
        <v>2</v>
      </c>
      <c r="D32" s="9">
        <v>79.98</v>
      </c>
      <c r="E32" s="8" t="s">
        <v>810</v>
      </c>
      <c r="F32" s="7" t="s">
        <v>1627</v>
      </c>
      <c r="G32" s="10"/>
      <c r="H32" s="7" t="s">
        <v>1496</v>
      </c>
      <c r="I32" s="7" t="s">
        <v>1526</v>
      </c>
      <c r="J32" s="7" t="s">
        <v>1461</v>
      </c>
      <c r="K32" s="7"/>
      <c r="L32" s="11" t="str">
        <f>HYPERLINK("http://slimages.macys.com/is/image/MCY/16358393 ")</f>
        <v xml:space="preserve">http://slimages.macys.com/is/image/MCY/16358393 </v>
      </c>
    </row>
    <row r="33" spans="1:12" ht="39.950000000000003" customHeight="1" x14ac:dyDescent="0.25">
      <c r="A33" s="6" t="s">
        <v>889</v>
      </c>
      <c r="B33" s="7" t="s">
        <v>890</v>
      </c>
      <c r="C33" s="8">
        <v>1</v>
      </c>
      <c r="D33" s="9">
        <v>12.99</v>
      </c>
      <c r="E33" s="8" t="s">
        <v>891</v>
      </c>
      <c r="F33" s="7" t="s">
        <v>1554</v>
      </c>
      <c r="G33" s="10" t="s">
        <v>1577</v>
      </c>
      <c r="H33" s="7" t="s">
        <v>1628</v>
      </c>
      <c r="I33" s="7" t="s">
        <v>1777</v>
      </c>
      <c r="J33" s="7"/>
      <c r="K33" s="7"/>
      <c r="L33" s="11" t="str">
        <f>HYPERLINK("http://slimages.macys.com/is/image/MCY/17309981 ")</f>
        <v xml:space="preserve">http://slimages.macys.com/is/image/MCY/17309981 </v>
      </c>
    </row>
    <row r="34" spans="1:12" ht="39.950000000000003" customHeight="1" x14ac:dyDescent="0.25">
      <c r="A34" s="6" t="s">
        <v>2290</v>
      </c>
      <c r="B34" s="7" t="s">
        <v>2291</v>
      </c>
      <c r="C34" s="8">
        <v>6</v>
      </c>
      <c r="D34" s="9">
        <v>89.94</v>
      </c>
      <c r="E34" s="8" t="s">
        <v>2292</v>
      </c>
      <c r="F34" s="7" t="s">
        <v>1505</v>
      </c>
      <c r="G34" s="10" t="s">
        <v>2241</v>
      </c>
      <c r="H34" s="7" t="s">
        <v>1506</v>
      </c>
      <c r="I34" s="7" t="s">
        <v>2276</v>
      </c>
      <c r="J34" s="7"/>
      <c r="K34" s="7"/>
      <c r="L34" s="11" t="str">
        <f>HYPERLINK("http://slimages.macys.com/is/image/MCY/17620637 ")</f>
        <v xml:space="preserve">http://slimages.macys.com/is/image/MCY/17620637 </v>
      </c>
    </row>
    <row r="35" spans="1:12" ht="39.950000000000003" customHeight="1" x14ac:dyDescent="0.25">
      <c r="A35" s="6" t="s">
        <v>892</v>
      </c>
      <c r="B35" s="7" t="s">
        <v>893</v>
      </c>
      <c r="C35" s="8">
        <v>1</v>
      </c>
      <c r="D35" s="9">
        <v>11.99</v>
      </c>
      <c r="E35" s="8" t="s">
        <v>894</v>
      </c>
      <c r="F35" s="7" t="s">
        <v>1554</v>
      </c>
      <c r="G35" s="10"/>
      <c r="H35" s="7" t="s">
        <v>1605</v>
      </c>
      <c r="I35" s="7" t="s">
        <v>1777</v>
      </c>
      <c r="J35" s="7" t="s">
        <v>1461</v>
      </c>
      <c r="K35" s="7" t="s">
        <v>895</v>
      </c>
      <c r="L35" s="11" t="str">
        <f>HYPERLINK("http://slimages.macys.com/is/image/MCY/10983571 ")</f>
        <v xml:space="preserve">http://slimages.macys.com/is/image/MCY/10983571 </v>
      </c>
    </row>
    <row r="36" spans="1:12" ht="39.950000000000003" customHeight="1" x14ac:dyDescent="0.25">
      <c r="A36" s="6" t="s">
        <v>896</v>
      </c>
      <c r="B36" s="7" t="s">
        <v>897</v>
      </c>
      <c r="C36" s="8">
        <v>4</v>
      </c>
      <c r="D36" s="9">
        <v>39.96</v>
      </c>
      <c r="E36" s="8" t="s">
        <v>898</v>
      </c>
      <c r="F36" s="7" t="s">
        <v>1711</v>
      </c>
      <c r="G36" s="10" t="s">
        <v>1577</v>
      </c>
      <c r="H36" s="7" t="s">
        <v>1628</v>
      </c>
      <c r="I36" s="7" t="s">
        <v>1777</v>
      </c>
      <c r="J36" s="7"/>
      <c r="K36" s="7"/>
      <c r="L36" s="11" t="str">
        <f>HYPERLINK("http://slimages.macys.com/is/image/MCY/17309975 ")</f>
        <v xml:space="preserve">http://slimages.macys.com/is/image/MCY/17309975 </v>
      </c>
    </row>
    <row r="37" spans="1:12" ht="39.950000000000003" customHeight="1" x14ac:dyDescent="0.25">
      <c r="A37" s="6" t="s">
        <v>899</v>
      </c>
      <c r="B37" s="7" t="s">
        <v>900</v>
      </c>
      <c r="C37" s="8">
        <v>2</v>
      </c>
      <c r="D37" s="9">
        <v>25.98</v>
      </c>
      <c r="E37" s="8" t="s">
        <v>901</v>
      </c>
      <c r="F37" s="7"/>
      <c r="G37" s="10"/>
      <c r="H37" s="7" t="s">
        <v>1605</v>
      </c>
      <c r="I37" s="7" t="s">
        <v>902</v>
      </c>
      <c r="J37" s="7"/>
      <c r="K37" s="7"/>
      <c r="L37" s="11" t="str">
        <f>HYPERLINK("http://slimages.macys.com/is/image/MCY/18130906 ")</f>
        <v xml:space="preserve">http://slimages.macys.com/is/image/MCY/18130906 </v>
      </c>
    </row>
    <row r="38" spans="1:12" ht="39.950000000000003" customHeight="1" x14ac:dyDescent="0.25">
      <c r="A38" s="6" t="s">
        <v>903</v>
      </c>
      <c r="B38" s="7" t="s">
        <v>904</v>
      </c>
      <c r="C38" s="8">
        <v>3</v>
      </c>
      <c r="D38" s="9">
        <v>38.97</v>
      </c>
      <c r="E38" s="8" t="s">
        <v>905</v>
      </c>
      <c r="F38" s="7" t="s">
        <v>1458</v>
      </c>
      <c r="G38" s="10" t="s">
        <v>906</v>
      </c>
      <c r="H38" s="7" t="s">
        <v>1605</v>
      </c>
      <c r="I38" s="7" t="s">
        <v>902</v>
      </c>
      <c r="J38" s="7"/>
      <c r="K38" s="7"/>
      <c r="L38" s="11" t="str">
        <f>HYPERLINK("http://slimages.macys.com/is/image/MCY/18130911 ")</f>
        <v xml:space="preserve">http://slimages.macys.com/is/image/MCY/18130911 </v>
      </c>
    </row>
    <row r="39" spans="1:12" ht="39.950000000000003" customHeight="1" x14ac:dyDescent="0.25">
      <c r="A39" s="6"/>
      <c r="B39" s="7"/>
      <c r="C39" s="8"/>
      <c r="D39" s="9"/>
      <c r="E39" s="8"/>
      <c r="F39" s="7"/>
      <c r="G39" s="10"/>
      <c r="H39" s="7"/>
      <c r="I39" s="7"/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907</v>
      </c>
      <c r="B2" s="7" t="s">
        <v>908</v>
      </c>
      <c r="C2" s="8">
        <v>1</v>
      </c>
      <c r="D2" s="9">
        <v>289.99</v>
      </c>
      <c r="E2" s="8" t="s">
        <v>909</v>
      </c>
      <c r="F2" s="7" t="s">
        <v>1458</v>
      </c>
      <c r="G2" s="10"/>
      <c r="H2" s="7" t="s">
        <v>1467</v>
      </c>
      <c r="I2" s="7" t="s">
        <v>1468</v>
      </c>
      <c r="J2" s="7" t="s">
        <v>1461</v>
      </c>
      <c r="K2" s="7" t="s">
        <v>910</v>
      </c>
      <c r="L2" s="11" t="str">
        <f>HYPERLINK("http://slimages.macys.com/is/image/MCY/9353024 ")</f>
        <v xml:space="preserve">http://slimages.macys.com/is/image/MCY/9353024 </v>
      </c>
    </row>
    <row r="3" spans="1:12" ht="39.950000000000003" customHeight="1" x14ac:dyDescent="0.25">
      <c r="A3" s="6" t="s">
        <v>911</v>
      </c>
      <c r="B3" s="7" t="s">
        <v>912</v>
      </c>
      <c r="C3" s="8">
        <v>1</v>
      </c>
      <c r="D3" s="9">
        <v>217.99</v>
      </c>
      <c r="E3" s="8" t="s">
        <v>913</v>
      </c>
      <c r="F3" s="7" t="s">
        <v>1936</v>
      </c>
      <c r="G3" s="10"/>
      <c r="H3" s="7" t="s">
        <v>1664</v>
      </c>
      <c r="I3" s="7" t="s">
        <v>1521</v>
      </c>
      <c r="J3" s="7" t="s">
        <v>1461</v>
      </c>
      <c r="K3" s="7" t="s">
        <v>914</v>
      </c>
      <c r="L3" s="11" t="str">
        <f>HYPERLINK("http://slimages.macys.com/is/image/MCY/12494810 ")</f>
        <v xml:space="preserve">http://slimages.macys.com/is/image/MCY/12494810 </v>
      </c>
    </row>
    <row r="4" spans="1:12" ht="39.950000000000003" customHeight="1" x14ac:dyDescent="0.25">
      <c r="A4" s="6" t="s">
        <v>915</v>
      </c>
      <c r="B4" s="7" t="s">
        <v>916</v>
      </c>
      <c r="C4" s="8">
        <v>1</v>
      </c>
      <c r="D4" s="9">
        <v>149.99</v>
      </c>
      <c r="E4" s="8" t="s">
        <v>917</v>
      </c>
      <c r="F4" s="7" t="s">
        <v>1560</v>
      </c>
      <c r="G4" s="10"/>
      <c r="H4" s="7" t="s">
        <v>918</v>
      </c>
      <c r="I4" s="7" t="s">
        <v>919</v>
      </c>
      <c r="J4" s="7" t="s">
        <v>1461</v>
      </c>
      <c r="K4" s="7" t="s">
        <v>1527</v>
      </c>
      <c r="L4" s="11" t="str">
        <f>HYPERLINK("http://slimages.macys.com/is/image/MCY/15730400 ")</f>
        <v xml:space="preserve">http://slimages.macys.com/is/image/MCY/15730400 </v>
      </c>
    </row>
    <row r="5" spans="1:12" ht="39.950000000000003" customHeight="1" x14ac:dyDescent="0.25">
      <c r="A5" s="6" t="s">
        <v>920</v>
      </c>
      <c r="B5" s="7" t="s">
        <v>921</v>
      </c>
      <c r="C5" s="8">
        <v>1</v>
      </c>
      <c r="D5" s="9">
        <v>169.99</v>
      </c>
      <c r="E5" s="8" t="s">
        <v>922</v>
      </c>
      <c r="F5" s="7" t="s">
        <v>1537</v>
      </c>
      <c r="G5" s="10"/>
      <c r="H5" s="7" t="s">
        <v>1545</v>
      </c>
      <c r="I5" s="7" t="s">
        <v>1546</v>
      </c>
      <c r="J5" s="7"/>
      <c r="K5" s="7"/>
      <c r="L5" s="11" t="str">
        <f>HYPERLINK("http://slimages.macys.com/is/image/MCY/16633345 ")</f>
        <v xml:space="preserve">http://slimages.macys.com/is/image/MCY/16633345 </v>
      </c>
    </row>
    <row r="6" spans="1:12" ht="39.950000000000003" customHeight="1" x14ac:dyDescent="0.25">
      <c r="A6" s="6" t="s">
        <v>923</v>
      </c>
      <c r="B6" s="7" t="s">
        <v>924</v>
      </c>
      <c r="C6" s="8">
        <v>1</v>
      </c>
      <c r="D6" s="9">
        <v>129.99</v>
      </c>
      <c r="E6" s="8">
        <v>219404</v>
      </c>
      <c r="F6" s="7" t="s">
        <v>1519</v>
      </c>
      <c r="G6" s="10"/>
      <c r="H6" s="7" t="s">
        <v>918</v>
      </c>
      <c r="I6" s="7" t="s">
        <v>925</v>
      </c>
      <c r="J6" s="7" t="s">
        <v>926</v>
      </c>
      <c r="K6" s="7" t="s">
        <v>927</v>
      </c>
      <c r="L6" s="11" t="str">
        <f>HYPERLINK("http://images.bloomingdales.com/is/image/BLM/9366196 ")</f>
        <v xml:space="preserve">http://images.bloomingdales.com/is/image/BLM/9366196 </v>
      </c>
    </row>
    <row r="7" spans="1:12" ht="39.950000000000003" customHeight="1" x14ac:dyDescent="0.25">
      <c r="A7" s="6" t="s">
        <v>928</v>
      </c>
      <c r="B7" s="7" t="s">
        <v>929</v>
      </c>
      <c r="C7" s="8">
        <v>1</v>
      </c>
      <c r="D7" s="9">
        <v>74.989999999999995</v>
      </c>
      <c r="E7" s="8" t="s">
        <v>930</v>
      </c>
      <c r="F7" s="7" t="s">
        <v>1632</v>
      </c>
      <c r="G7" s="10"/>
      <c r="H7" s="7" t="s">
        <v>1664</v>
      </c>
      <c r="I7" s="7" t="s">
        <v>1521</v>
      </c>
      <c r="J7" s="7" t="s">
        <v>1461</v>
      </c>
      <c r="K7" s="7" t="s">
        <v>931</v>
      </c>
      <c r="L7" s="11" t="str">
        <f>HYPERLINK("http://slimages.macys.com/is/image/MCY/9803595 ")</f>
        <v xml:space="preserve">http://slimages.macys.com/is/image/MCY/9803595 </v>
      </c>
    </row>
    <row r="8" spans="1:12" ht="39.950000000000003" customHeight="1" x14ac:dyDescent="0.25">
      <c r="A8" s="6" t="s">
        <v>932</v>
      </c>
      <c r="B8" s="7" t="s">
        <v>933</v>
      </c>
      <c r="C8" s="8">
        <v>1</v>
      </c>
      <c r="D8" s="9">
        <v>84.99</v>
      </c>
      <c r="E8" s="8" t="s">
        <v>934</v>
      </c>
      <c r="F8" s="7" t="s">
        <v>1531</v>
      </c>
      <c r="G8" s="10"/>
      <c r="H8" s="7" t="s">
        <v>1664</v>
      </c>
      <c r="I8" s="7" t="s">
        <v>1521</v>
      </c>
      <c r="J8" s="7" t="s">
        <v>1461</v>
      </c>
      <c r="K8" s="7" t="s">
        <v>935</v>
      </c>
      <c r="L8" s="11" t="str">
        <f>HYPERLINK("http://slimages.macys.com/is/image/MCY/9492565 ")</f>
        <v xml:space="preserve">http://slimages.macys.com/is/image/MCY/9492565 </v>
      </c>
    </row>
    <row r="9" spans="1:12" ht="39.950000000000003" customHeight="1" x14ac:dyDescent="0.25">
      <c r="A9" s="6" t="s">
        <v>1699</v>
      </c>
      <c r="B9" s="7" t="s">
        <v>1700</v>
      </c>
      <c r="C9" s="8">
        <v>3</v>
      </c>
      <c r="D9" s="9">
        <v>179.97</v>
      </c>
      <c r="E9" s="8" t="s">
        <v>1685</v>
      </c>
      <c r="F9" s="7" t="s">
        <v>1554</v>
      </c>
      <c r="G9" s="10"/>
      <c r="H9" s="7" t="s">
        <v>1605</v>
      </c>
      <c r="I9" s="7" t="s">
        <v>1686</v>
      </c>
      <c r="J9" s="7" t="s">
        <v>1461</v>
      </c>
      <c r="K9" s="7" t="s">
        <v>1701</v>
      </c>
      <c r="L9" s="11" t="str">
        <f>HYPERLINK("http://slimages.macys.com/is/image/MCY/8332582 ")</f>
        <v xml:space="preserve">http://slimages.macys.com/is/image/MCY/8332582 </v>
      </c>
    </row>
    <row r="10" spans="1:12" ht="39.950000000000003" customHeight="1" x14ac:dyDescent="0.25">
      <c r="A10" s="6" t="s">
        <v>936</v>
      </c>
      <c r="B10" s="7" t="s">
        <v>937</v>
      </c>
      <c r="C10" s="8">
        <v>1</v>
      </c>
      <c r="D10" s="9">
        <v>99.99</v>
      </c>
      <c r="E10" s="8" t="s">
        <v>938</v>
      </c>
      <c r="F10" s="7" t="s">
        <v>2440</v>
      </c>
      <c r="G10" s="10"/>
      <c r="H10" s="7" t="s">
        <v>1664</v>
      </c>
      <c r="I10" s="7" t="s">
        <v>1588</v>
      </c>
      <c r="J10" s="7"/>
      <c r="K10" s="7"/>
      <c r="L10" s="11" t="str">
        <f>HYPERLINK("http://slimages.macys.com/is/image/MCY/17188273 ")</f>
        <v xml:space="preserve">http://slimages.macys.com/is/image/MCY/17188273 </v>
      </c>
    </row>
    <row r="11" spans="1:12" ht="39.950000000000003" customHeight="1" x14ac:dyDescent="0.25">
      <c r="A11" s="6" t="s">
        <v>939</v>
      </c>
      <c r="B11" s="7" t="s">
        <v>940</v>
      </c>
      <c r="C11" s="8">
        <v>3</v>
      </c>
      <c r="D11" s="9">
        <v>257.97000000000003</v>
      </c>
      <c r="E11" s="8" t="s">
        <v>941</v>
      </c>
      <c r="F11" s="7" t="s">
        <v>1554</v>
      </c>
      <c r="G11" s="10" t="s">
        <v>942</v>
      </c>
      <c r="H11" s="7" t="s">
        <v>1506</v>
      </c>
      <c r="I11" s="7" t="s">
        <v>535</v>
      </c>
      <c r="J11" s="7" t="s">
        <v>1461</v>
      </c>
      <c r="K11" s="7" t="s">
        <v>1564</v>
      </c>
      <c r="L11" s="11" t="str">
        <f>HYPERLINK("http://slimages.macys.com/is/image/MCY/14805874 ")</f>
        <v xml:space="preserve">http://slimages.macys.com/is/image/MCY/14805874 </v>
      </c>
    </row>
    <row r="12" spans="1:12" ht="39.950000000000003" customHeight="1" x14ac:dyDescent="0.25">
      <c r="A12" s="6" t="s">
        <v>943</v>
      </c>
      <c r="B12" s="7" t="s">
        <v>944</v>
      </c>
      <c r="C12" s="8">
        <v>1</v>
      </c>
      <c r="D12" s="9">
        <v>69.989999999999995</v>
      </c>
      <c r="E12" s="8" t="s">
        <v>945</v>
      </c>
      <c r="F12" s="7" t="s">
        <v>1505</v>
      </c>
      <c r="G12" s="10"/>
      <c r="H12" s="7" t="s">
        <v>1506</v>
      </c>
      <c r="I12" s="7" t="s">
        <v>1959</v>
      </c>
      <c r="J12" s="7"/>
      <c r="K12" s="7"/>
      <c r="L12" s="11" t="str">
        <f>HYPERLINK("http://slimages.macys.com/is/image/MCY/18112100 ")</f>
        <v xml:space="preserve">http://slimages.macys.com/is/image/MCY/18112100 </v>
      </c>
    </row>
    <row r="13" spans="1:12" ht="39.950000000000003" customHeight="1" x14ac:dyDescent="0.25">
      <c r="A13" s="6" t="s">
        <v>946</v>
      </c>
      <c r="B13" s="7" t="s">
        <v>947</v>
      </c>
      <c r="C13" s="8">
        <v>2</v>
      </c>
      <c r="D13" s="9">
        <v>99.98</v>
      </c>
      <c r="E13" s="8" t="s">
        <v>948</v>
      </c>
      <c r="F13" s="7" t="s">
        <v>1458</v>
      </c>
      <c r="G13" s="10" t="s">
        <v>1577</v>
      </c>
      <c r="H13" s="7" t="s">
        <v>1628</v>
      </c>
      <c r="I13" s="7" t="s">
        <v>949</v>
      </c>
      <c r="J13" s="7" t="s">
        <v>1461</v>
      </c>
      <c r="K13" s="7" t="s">
        <v>1527</v>
      </c>
      <c r="L13" s="11" t="str">
        <f>HYPERLINK("http://images.bloomingdales.com/is/image/BLM/8291037 ")</f>
        <v xml:space="preserve">http://images.bloomingdales.com/is/image/BLM/8291037 </v>
      </c>
    </row>
    <row r="14" spans="1:12" ht="39.950000000000003" customHeight="1" x14ac:dyDescent="0.25">
      <c r="A14" s="6" t="s">
        <v>2221</v>
      </c>
      <c r="B14" s="7" t="s">
        <v>2222</v>
      </c>
      <c r="C14" s="8">
        <v>2</v>
      </c>
      <c r="D14" s="9">
        <v>79.98</v>
      </c>
      <c r="E14" s="8" t="s">
        <v>2223</v>
      </c>
      <c r="F14" s="7" t="s">
        <v>2224</v>
      </c>
      <c r="G14" s="10"/>
      <c r="H14" s="7" t="s">
        <v>1605</v>
      </c>
      <c r="I14" s="7" t="s">
        <v>2225</v>
      </c>
      <c r="J14" s="7"/>
      <c r="K14" s="7"/>
      <c r="L14" s="11" t="str">
        <f>HYPERLINK("http://slimages.macys.com/is/image/MCY/17804058 ")</f>
        <v xml:space="preserve">http://slimages.macys.com/is/image/MCY/17804058 </v>
      </c>
    </row>
    <row r="15" spans="1:12" ht="39.950000000000003" customHeight="1" x14ac:dyDescent="0.25">
      <c r="A15" s="6" t="s">
        <v>855</v>
      </c>
      <c r="B15" s="7" t="s">
        <v>856</v>
      </c>
      <c r="C15" s="8">
        <v>3</v>
      </c>
      <c r="D15" s="9">
        <v>119.97</v>
      </c>
      <c r="E15" s="8" t="s">
        <v>857</v>
      </c>
      <c r="F15" s="7" t="s">
        <v>2224</v>
      </c>
      <c r="G15" s="10"/>
      <c r="H15" s="7" t="s">
        <v>1605</v>
      </c>
      <c r="I15" s="7" t="s">
        <v>2225</v>
      </c>
      <c r="J15" s="7"/>
      <c r="K15" s="7"/>
      <c r="L15" s="11" t="str">
        <f>HYPERLINK("http://slimages.macys.com/is/image/MCY/17804035 ")</f>
        <v xml:space="preserve">http://slimages.macys.com/is/image/MCY/17804035 </v>
      </c>
    </row>
    <row r="16" spans="1:12" ht="39.950000000000003" customHeight="1" x14ac:dyDescent="0.25">
      <c r="A16" s="6" t="s">
        <v>866</v>
      </c>
      <c r="B16" s="7" t="s">
        <v>867</v>
      </c>
      <c r="C16" s="8">
        <v>1</v>
      </c>
      <c r="D16" s="9">
        <v>79.989999999999995</v>
      </c>
      <c r="E16" s="8" t="s">
        <v>868</v>
      </c>
      <c r="F16" s="7" t="s">
        <v>1597</v>
      </c>
      <c r="G16" s="10"/>
      <c r="H16" s="7" t="s">
        <v>1550</v>
      </c>
      <c r="I16" s="7" t="s">
        <v>1790</v>
      </c>
      <c r="J16" s="7" t="s">
        <v>1461</v>
      </c>
      <c r="K16" s="7" t="s">
        <v>869</v>
      </c>
      <c r="L16" s="11" t="str">
        <f>HYPERLINK("http://slimages.macys.com/is/image/MCY/14731378 ")</f>
        <v xml:space="preserve">http://slimages.macys.com/is/image/MCY/14731378 </v>
      </c>
    </row>
    <row r="17" spans="1:12" ht="39.950000000000003" customHeight="1" x14ac:dyDescent="0.25">
      <c r="A17" s="6" t="s">
        <v>2230</v>
      </c>
      <c r="B17" s="7" t="s">
        <v>2231</v>
      </c>
      <c r="C17" s="8">
        <v>2</v>
      </c>
      <c r="D17" s="9">
        <v>79.98</v>
      </c>
      <c r="E17" s="8" t="s">
        <v>2232</v>
      </c>
      <c r="F17" s="7" t="s">
        <v>1458</v>
      </c>
      <c r="G17" s="10"/>
      <c r="H17" s="7" t="s">
        <v>1605</v>
      </c>
      <c r="I17" s="7" t="s">
        <v>1822</v>
      </c>
      <c r="J17" s="7"/>
      <c r="K17" s="7"/>
      <c r="L17" s="11" t="str">
        <f>HYPERLINK("http://slimages.macys.com/is/image/MCY/17725003 ")</f>
        <v xml:space="preserve">http://slimages.macys.com/is/image/MCY/17725003 </v>
      </c>
    </row>
    <row r="18" spans="1:12" ht="39.950000000000003" customHeight="1" x14ac:dyDescent="0.25">
      <c r="A18" s="6" t="s">
        <v>950</v>
      </c>
      <c r="B18" s="7" t="s">
        <v>951</v>
      </c>
      <c r="C18" s="8">
        <v>3</v>
      </c>
      <c r="D18" s="9">
        <v>209.97</v>
      </c>
      <c r="E18" s="8" t="s">
        <v>952</v>
      </c>
      <c r="F18" s="7" t="s">
        <v>1458</v>
      </c>
      <c r="G18" s="10"/>
      <c r="H18" s="7" t="s">
        <v>1467</v>
      </c>
      <c r="I18" s="7" t="s">
        <v>1712</v>
      </c>
      <c r="J18" s="7" t="s">
        <v>1461</v>
      </c>
      <c r="K18" s="7" t="s">
        <v>953</v>
      </c>
      <c r="L18" s="11" t="str">
        <f>HYPERLINK("http://slimages.macys.com/is/image/MCY/9621143 ")</f>
        <v xml:space="preserve">http://slimages.macys.com/is/image/MCY/9621143 </v>
      </c>
    </row>
    <row r="19" spans="1:12" ht="39.950000000000003" customHeight="1" x14ac:dyDescent="0.25">
      <c r="A19" s="6" t="s">
        <v>954</v>
      </c>
      <c r="B19" s="7" t="s">
        <v>955</v>
      </c>
      <c r="C19" s="8">
        <v>1</v>
      </c>
      <c r="D19" s="9">
        <v>29.99</v>
      </c>
      <c r="E19" s="8" t="s">
        <v>956</v>
      </c>
      <c r="F19" s="7" t="s">
        <v>1519</v>
      </c>
      <c r="G19" s="10"/>
      <c r="H19" s="7" t="s">
        <v>1506</v>
      </c>
      <c r="I19" s="7" t="s">
        <v>1521</v>
      </c>
      <c r="J19" s="7" t="s">
        <v>1461</v>
      </c>
      <c r="K19" s="7" t="s">
        <v>957</v>
      </c>
      <c r="L19" s="11" t="str">
        <f>HYPERLINK("http://slimages.macys.com/is/image/MCY/9615492 ")</f>
        <v xml:space="preserve">http://slimages.macys.com/is/image/MCY/9615492 </v>
      </c>
    </row>
    <row r="20" spans="1:12" ht="39.950000000000003" customHeight="1" x14ac:dyDescent="0.25">
      <c r="A20" s="6" t="s">
        <v>958</v>
      </c>
      <c r="B20" s="7" t="s">
        <v>959</v>
      </c>
      <c r="C20" s="8">
        <v>1</v>
      </c>
      <c r="D20" s="9">
        <v>28.99</v>
      </c>
      <c r="E20" s="8">
        <v>17790</v>
      </c>
      <c r="F20" s="7" t="s">
        <v>2187</v>
      </c>
      <c r="G20" s="10" t="s">
        <v>1561</v>
      </c>
      <c r="H20" s="7" t="s">
        <v>1506</v>
      </c>
      <c r="I20" s="7" t="s">
        <v>2100</v>
      </c>
      <c r="J20" s="7" t="s">
        <v>1461</v>
      </c>
      <c r="K20" s="7" t="s">
        <v>1564</v>
      </c>
      <c r="L20" s="11" t="str">
        <f>HYPERLINK("http://slimages.macys.com/is/image/MCY/9316073 ")</f>
        <v xml:space="preserve">http://slimages.macys.com/is/image/MCY/9316073 </v>
      </c>
    </row>
    <row r="21" spans="1:12" ht="39.950000000000003" customHeight="1" x14ac:dyDescent="0.25">
      <c r="A21" s="6" t="s">
        <v>960</v>
      </c>
      <c r="B21" s="7" t="s">
        <v>961</v>
      </c>
      <c r="C21" s="8">
        <v>1</v>
      </c>
      <c r="D21" s="9">
        <v>38</v>
      </c>
      <c r="E21" s="8" t="s">
        <v>962</v>
      </c>
      <c r="F21" s="7" t="s">
        <v>1632</v>
      </c>
      <c r="G21" s="10" t="s">
        <v>1577</v>
      </c>
      <c r="H21" s="7" t="s">
        <v>1628</v>
      </c>
      <c r="I21" s="7" t="s">
        <v>963</v>
      </c>
      <c r="J21" s="7"/>
      <c r="K21" s="7"/>
      <c r="L21" s="11" t="str">
        <f>HYPERLINK("http://images.bloomingdales.com/is/image/BLM/956063 ")</f>
        <v xml:space="preserve">http://images.bloomingdales.com/is/image/BLM/956063 </v>
      </c>
    </row>
    <row r="22" spans="1:12" ht="39.950000000000003" customHeight="1" x14ac:dyDescent="0.25">
      <c r="A22" s="6" t="s">
        <v>877</v>
      </c>
      <c r="B22" s="7" t="s">
        <v>878</v>
      </c>
      <c r="C22" s="8">
        <v>1</v>
      </c>
      <c r="D22" s="9">
        <v>39.99</v>
      </c>
      <c r="E22" s="8">
        <v>100109274</v>
      </c>
      <c r="F22" s="7" t="s">
        <v>1597</v>
      </c>
      <c r="G22" s="10"/>
      <c r="H22" s="7" t="s">
        <v>1598</v>
      </c>
      <c r="I22" s="7" t="s">
        <v>1942</v>
      </c>
      <c r="J22" s="7"/>
      <c r="K22" s="7"/>
      <c r="L22" s="11" t="str">
        <f>HYPERLINK("http://slimages.macys.com/is/image/MCY/17902270 ")</f>
        <v xml:space="preserve">http://slimages.macys.com/is/image/MCY/17902270 </v>
      </c>
    </row>
    <row r="23" spans="1:12" ht="39.950000000000003" customHeight="1" x14ac:dyDescent="0.25">
      <c r="A23" s="6" t="s">
        <v>964</v>
      </c>
      <c r="B23" s="7" t="s">
        <v>947</v>
      </c>
      <c r="C23" s="8">
        <v>1</v>
      </c>
      <c r="D23" s="9">
        <v>34.99</v>
      </c>
      <c r="E23" s="8" t="s">
        <v>965</v>
      </c>
      <c r="F23" s="7" t="s">
        <v>1458</v>
      </c>
      <c r="G23" s="10" t="s">
        <v>966</v>
      </c>
      <c r="H23" s="7" t="s">
        <v>1628</v>
      </c>
      <c r="I23" s="7" t="s">
        <v>949</v>
      </c>
      <c r="J23" s="7" t="s">
        <v>1461</v>
      </c>
      <c r="K23" s="7" t="s">
        <v>1527</v>
      </c>
      <c r="L23" s="11" t="str">
        <f>HYPERLINK("http://images.bloomingdales.com/is/image/BLM/8291037 ")</f>
        <v xml:space="preserve">http://images.bloomingdales.com/is/image/BLM/8291037 </v>
      </c>
    </row>
    <row r="24" spans="1:12" ht="39.950000000000003" customHeight="1" x14ac:dyDescent="0.25">
      <c r="A24" s="6" t="s">
        <v>967</v>
      </c>
      <c r="B24" s="7" t="s">
        <v>968</v>
      </c>
      <c r="C24" s="8">
        <v>1</v>
      </c>
      <c r="D24" s="9">
        <v>29.99</v>
      </c>
      <c r="E24" s="8" t="s">
        <v>969</v>
      </c>
      <c r="F24" s="7" t="s">
        <v>970</v>
      </c>
      <c r="G24" s="10"/>
      <c r="H24" s="7" t="s">
        <v>1555</v>
      </c>
      <c r="I24" s="7" t="s">
        <v>1830</v>
      </c>
      <c r="J24" s="7"/>
      <c r="K24" s="7"/>
      <c r="L24" s="11" t="str">
        <f>HYPERLINK("http://slimages.macys.com/is/image/MCY/17822534 ")</f>
        <v xml:space="preserve">http://slimages.macys.com/is/image/MCY/17822534 </v>
      </c>
    </row>
    <row r="25" spans="1:12" ht="39.950000000000003" customHeight="1" x14ac:dyDescent="0.25">
      <c r="A25" s="6" t="s">
        <v>971</v>
      </c>
      <c r="B25" s="7" t="s">
        <v>972</v>
      </c>
      <c r="C25" s="8">
        <v>4</v>
      </c>
      <c r="D25" s="9">
        <v>119.96</v>
      </c>
      <c r="E25" s="8" t="s">
        <v>973</v>
      </c>
      <c r="F25" s="7" t="s">
        <v>1554</v>
      </c>
      <c r="G25" s="10"/>
      <c r="H25" s="7" t="s">
        <v>1506</v>
      </c>
      <c r="I25" s="7" t="s">
        <v>1521</v>
      </c>
      <c r="J25" s="7" t="s">
        <v>1461</v>
      </c>
      <c r="K25" s="7" t="s">
        <v>1564</v>
      </c>
      <c r="L25" s="11" t="str">
        <f>HYPERLINK("http://slimages.macys.com/is/image/MCY/8152741 ")</f>
        <v xml:space="preserve">http://slimages.macys.com/is/image/MCY/8152741 </v>
      </c>
    </row>
    <row r="26" spans="1:12" ht="39.950000000000003" customHeight="1" x14ac:dyDescent="0.25">
      <c r="A26" s="6" t="s">
        <v>974</v>
      </c>
      <c r="B26" s="7" t="s">
        <v>975</v>
      </c>
      <c r="C26" s="8">
        <v>1</v>
      </c>
      <c r="D26" s="9">
        <v>29.99</v>
      </c>
      <c r="E26" s="8">
        <v>13444</v>
      </c>
      <c r="F26" s="7" t="s">
        <v>1458</v>
      </c>
      <c r="G26" s="10" t="s">
        <v>1561</v>
      </c>
      <c r="H26" s="7" t="s">
        <v>1628</v>
      </c>
      <c r="I26" s="7" t="s">
        <v>976</v>
      </c>
      <c r="J26" s="7" t="s">
        <v>977</v>
      </c>
      <c r="K26" s="7" t="s">
        <v>1623</v>
      </c>
      <c r="L26" s="11" t="str">
        <f>HYPERLINK("http://images.bloomingdales.com/is/image/BLM/10602132 ")</f>
        <v xml:space="preserve">http://images.bloomingdales.com/is/image/BLM/10602132 </v>
      </c>
    </row>
    <row r="27" spans="1:12" ht="39.950000000000003" customHeight="1" x14ac:dyDescent="0.25">
      <c r="A27" s="6" t="s">
        <v>578</v>
      </c>
      <c r="B27" s="7" t="s">
        <v>579</v>
      </c>
      <c r="C27" s="8">
        <v>1</v>
      </c>
      <c r="D27" s="9">
        <v>59.99</v>
      </c>
      <c r="E27" s="8" t="s">
        <v>580</v>
      </c>
      <c r="F27" s="7" t="s">
        <v>1458</v>
      </c>
      <c r="G27" s="10"/>
      <c r="H27" s="7" t="s">
        <v>1545</v>
      </c>
      <c r="I27" s="7" t="s">
        <v>1546</v>
      </c>
      <c r="J27" s="7"/>
      <c r="K27" s="7"/>
      <c r="L27" s="11" t="str">
        <f>HYPERLINK("http://slimages.macys.com/is/image/MCY/16633321 ")</f>
        <v xml:space="preserve">http://slimages.macys.com/is/image/MCY/16633321 </v>
      </c>
    </row>
    <row r="28" spans="1:12" ht="39.950000000000003" customHeight="1" x14ac:dyDescent="0.25">
      <c r="A28" s="6" t="s">
        <v>581</v>
      </c>
      <c r="B28" s="7" t="s">
        <v>582</v>
      </c>
      <c r="C28" s="8">
        <v>1</v>
      </c>
      <c r="D28" s="9">
        <v>59.99</v>
      </c>
      <c r="E28" s="8" t="s">
        <v>583</v>
      </c>
      <c r="F28" s="7" t="s">
        <v>1458</v>
      </c>
      <c r="G28" s="10"/>
      <c r="H28" s="7" t="s">
        <v>1545</v>
      </c>
      <c r="I28" s="7" t="s">
        <v>1546</v>
      </c>
      <c r="J28" s="7"/>
      <c r="K28" s="7"/>
      <c r="L28" s="11" t="str">
        <f>HYPERLINK("http://slimages.macys.com/is/image/MCY/16633322 ")</f>
        <v xml:space="preserve">http://slimages.macys.com/is/image/MCY/16633322 </v>
      </c>
    </row>
    <row r="29" spans="1:12" ht="39.950000000000003" customHeight="1" x14ac:dyDescent="0.25">
      <c r="A29" s="6" t="s">
        <v>978</v>
      </c>
      <c r="B29" s="7" t="s">
        <v>979</v>
      </c>
      <c r="C29" s="8">
        <v>1</v>
      </c>
      <c r="D29" s="9">
        <v>34.99</v>
      </c>
      <c r="E29" s="8" t="s">
        <v>980</v>
      </c>
      <c r="F29" s="7" t="s">
        <v>1554</v>
      </c>
      <c r="G29" s="10"/>
      <c r="H29" s="7" t="s">
        <v>1520</v>
      </c>
      <c r="I29" s="7" t="s">
        <v>1733</v>
      </c>
      <c r="J29" s="7" t="s">
        <v>1461</v>
      </c>
      <c r="K29" s="7"/>
      <c r="L29" s="11" t="str">
        <f>HYPERLINK("http://slimages.macys.com/is/image/MCY/8935602 ")</f>
        <v xml:space="preserve">http://slimages.macys.com/is/image/MCY/8935602 </v>
      </c>
    </row>
    <row r="30" spans="1:12" ht="39.950000000000003" customHeight="1" x14ac:dyDescent="0.25">
      <c r="A30" s="6" t="s">
        <v>791</v>
      </c>
      <c r="B30" s="7" t="s">
        <v>792</v>
      </c>
      <c r="C30" s="8">
        <v>5</v>
      </c>
      <c r="D30" s="9">
        <v>149.94999999999999</v>
      </c>
      <c r="E30" s="8" t="s">
        <v>793</v>
      </c>
      <c r="F30" s="7" t="s">
        <v>1495</v>
      </c>
      <c r="G30" s="10"/>
      <c r="H30" s="7" t="s">
        <v>1532</v>
      </c>
      <c r="I30" s="7" t="s">
        <v>2261</v>
      </c>
      <c r="J30" s="7" t="s">
        <v>1461</v>
      </c>
      <c r="K30" s="7" t="s">
        <v>1527</v>
      </c>
      <c r="L30" s="11" t="str">
        <f>HYPERLINK("http://slimages.macys.com/is/image/MCY/2620611 ")</f>
        <v xml:space="preserve">http://slimages.macys.com/is/image/MCY/2620611 </v>
      </c>
    </row>
    <row r="31" spans="1:12" ht="39.950000000000003" customHeight="1" x14ac:dyDescent="0.25">
      <c r="A31" s="6" t="s">
        <v>981</v>
      </c>
      <c r="B31" s="7" t="s">
        <v>982</v>
      </c>
      <c r="C31" s="8">
        <v>4</v>
      </c>
      <c r="D31" s="9">
        <v>115.96</v>
      </c>
      <c r="E31" s="8">
        <v>278656799</v>
      </c>
      <c r="F31" s="7" t="s">
        <v>1762</v>
      </c>
      <c r="G31" s="10"/>
      <c r="H31" s="7" t="s">
        <v>1506</v>
      </c>
      <c r="I31" s="7" t="s">
        <v>983</v>
      </c>
      <c r="J31" s="7" t="s">
        <v>1461</v>
      </c>
      <c r="K31" s="7" t="s">
        <v>2280</v>
      </c>
      <c r="L31" s="11" t="str">
        <f>HYPERLINK("http://slimages.macys.com/is/image/MCY/11461333 ")</f>
        <v xml:space="preserve">http://slimages.macys.com/is/image/MCY/11461333 </v>
      </c>
    </row>
    <row r="32" spans="1:12" ht="39.950000000000003" customHeight="1" x14ac:dyDescent="0.25">
      <c r="A32" s="6" t="s">
        <v>984</v>
      </c>
      <c r="B32" s="7" t="s">
        <v>985</v>
      </c>
      <c r="C32" s="8">
        <v>1</v>
      </c>
      <c r="D32" s="9">
        <v>19.989999999999998</v>
      </c>
      <c r="E32" s="8">
        <v>13445</v>
      </c>
      <c r="F32" s="7" t="s">
        <v>1458</v>
      </c>
      <c r="G32" s="10" t="s">
        <v>1561</v>
      </c>
      <c r="H32" s="7" t="s">
        <v>1628</v>
      </c>
      <c r="I32" s="7" t="s">
        <v>976</v>
      </c>
      <c r="J32" s="7" t="s">
        <v>977</v>
      </c>
      <c r="K32" s="7" t="s">
        <v>1623</v>
      </c>
      <c r="L32" s="11" t="str">
        <f>HYPERLINK("http://images.bloomingdales.com/is/image/BLM/10602132 ")</f>
        <v xml:space="preserve">http://images.bloomingdales.com/is/image/BLM/10602132 </v>
      </c>
    </row>
    <row r="33" spans="1:12" ht="39.950000000000003" customHeight="1" x14ac:dyDescent="0.25">
      <c r="A33" s="6" t="s">
        <v>725</v>
      </c>
      <c r="B33" s="7" t="s">
        <v>726</v>
      </c>
      <c r="C33" s="8">
        <v>1</v>
      </c>
      <c r="D33" s="9">
        <v>29.99</v>
      </c>
      <c r="E33" s="8" t="s">
        <v>727</v>
      </c>
      <c r="F33" s="7" t="s">
        <v>1936</v>
      </c>
      <c r="G33" s="10"/>
      <c r="H33" s="7" t="s">
        <v>1545</v>
      </c>
      <c r="I33" s="7" t="s">
        <v>1546</v>
      </c>
      <c r="J33" s="7" t="s">
        <v>1600</v>
      </c>
      <c r="K33" s="7" t="s">
        <v>1527</v>
      </c>
      <c r="L33" s="11" t="str">
        <f>HYPERLINK("http://slimages.macys.com/is/image/MCY/11320819 ")</f>
        <v xml:space="preserve">http://slimages.macys.com/is/image/MCY/11320819 </v>
      </c>
    </row>
    <row r="34" spans="1:12" ht="39.950000000000003" customHeight="1" x14ac:dyDescent="0.25">
      <c r="A34" s="6" t="s">
        <v>986</v>
      </c>
      <c r="B34" s="7" t="s">
        <v>987</v>
      </c>
      <c r="C34" s="8">
        <v>1</v>
      </c>
      <c r="D34" s="9">
        <v>39.99</v>
      </c>
      <c r="E34" s="8" t="s">
        <v>988</v>
      </c>
      <c r="F34" s="7" t="s">
        <v>1554</v>
      </c>
      <c r="G34" s="10"/>
      <c r="H34" s="7" t="s">
        <v>2217</v>
      </c>
      <c r="I34" s="7" t="s">
        <v>1751</v>
      </c>
      <c r="J34" s="7" t="s">
        <v>1461</v>
      </c>
      <c r="K34" s="7" t="s">
        <v>1527</v>
      </c>
      <c r="L34" s="11" t="str">
        <f>HYPERLINK("http://slimages.macys.com/is/image/MCY/3614592 ")</f>
        <v xml:space="preserve">http://slimages.macys.com/is/image/MCY/3614592 </v>
      </c>
    </row>
    <row r="35" spans="1:12" ht="39.950000000000003" customHeight="1" x14ac:dyDescent="0.25">
      <c r="A35" s="6" t="s">
        <v>989</v>
      </c>
      <c r="B35" s="7" t="s">
        <v>990</v>
      </c>
      <c r="C35" s="8">
        <v>2</v>
      </c>
      <c r="D35" s="9">
        <v>31.98</v>
      </c>
      <c r="E35" s="8">
        <v>44024</v>
      </c>
      <c r="F35" s="7" t="s">
        <v>1785</v>
      </c>
      <c r="G35" s="10"/>
      <c r="H35" s="7" t="s">
        <v>1506</v>
      </c>
      <c r="I35" s="7" t="s">
        <v>1583</v>
      </c>
      <c r="J35" s="7" t="s">
        <v>1461</v>
      </c>
      <c r="K35" s="7" t="s">
        <v>1564</v>
      </c>
      <c r="L35" s="11" t="str">
        <f>HYPERLINK("http://slimages.macys.com/is/image/MCY/10010137 ")</f>
        <v xml:space="preserve">http://slimages.macys.com/is/image/MCY/10010137 </v>
      </c>
    </row>
    <row r="36" spans="1:12" ht="39.950000000000003" customHeight="1" x14ac:dyDescent="0.25">
      <c r="A36" s="6" t="s">
        <v>991</v>
      </c>
      <c r="B36" s="7" t="s">
        <v>992</v>
      </c>
      <c r="C36" s="8">
        <v>1</v>
      </c>
      <c r="D36" s="9">
        <v>14.99</v>
      </c>
      <c r="E36" s="8">
        <v>44053</v>
      </c>
      <c r="F36" s="7" t="s">
        <v>1495</v>
      </c>
      <c r="G36" s="10" t="s">
        <v>993</v>
      </c>
      <c r="H36" s="7" t="s">
        <v>1506</v>
      </c>
      <c r="I36" s="7" t="s">
        <v>1583</v>
      </c>
      <c r="J36" s="7" t="s">
        <v>1461</v>
      </c>
      <c r="K36" s="7" t="s">
        <v>1564</v>
      </c>
      <c r="L36" s="11" t="str">
        <f>HYPERLINK("http://slimages.macys.com/is/image/MCY/10004504 ")</f>
        <v xml:space="preserve">http://slimages.macys.com/is/image/MCY/10004504 </v>
      </c>
    </row>
    <row r="37" spans="1:12" ht="39.950000000000003" customHeight="1" x14ac:dyDescent="0.25">
      <c r="A37" s="6" t="s">
        <v>994</v>
      </c>
      <c r="B37" s="7" t="s">
        <v>995</v>
      </c>
      <c r="C37" s="8">
        <v>3</v>
      </c>
      <c r="D37" s="9">
        <v>44.97</v>
      </c>
      <c r="E37" s="8" t="s">
        <v>996</v>
      </c>
      <c r="F37" s="7" t="s">
        <v>1762</v>
      </c>
      <c r="G37" s="10" t="s">
        <v>1644</v>
      </c>
      <c r="H37" s="7" t="s">
        <v>1628</v>
      </c>
      <c r="I37" s="7" t="s">
        <v>1777</v>
      </c>
      <c r="J37" s="7" t="s">
        <v>997</v>
      </c>
      <c r="K37" s="7"/>
      <c r="L37" s="11" t="str">
        <f>HYPERLINK("http://slimages.macys.com/is/image/MCY/8763894 ")</f>
        <v xml:space="preserve">http://slimages.macys.com/is/image/MCY/8763894 </v>
      </c>
    </row>
    <row r="38" spans="1:12" ht="39.950000000000003" customHeight="1" x14ac:dyDescent="0.25">
      <c r="A38" s="6" t="s">
        <v>998</v>
      </c>
      <c r="B38" s="7" t="s">
        <v>947</v>
      </c>
      <c r="C38" s="8">
        <v>2</v>
      </c>
      <c r="D38" s="9">
        <v>39.979999999999997</v>
      </c>
      <c r="E38" s="8" t="s">
        <v>999</v>
      </c>
      <c r="F38" s="7" t="s">
        <v>1458</v>
      </c>
      <c r="G38" s="10" t="s">
        <v>1644</v>
      </c>
      <c r="H38" s="7" t="s">
        <v>1628</v>
      </c>
      <c r="I38" s="7" t="s">
        <v>949</v>
      </c>
      <c r="J38" s="7" t="s">
        <v>1461</v>
      </c>
      <c r="K38" s="7" t="s">
        <v>1527</v>
      </c>
      <c r="L38" s="11" t="str">
        <f>HYPERLINK("http://images.bloomingdales.com/is/image/BLM/8291037 ")</f>
        <v xml:space="preserve">http://images.bloomingdales.com/is/image/BLM/8291037 </v>
      </c>
    </row>
    <row r="39" spans="1:12" ht="39.950000000000003" customHeight="1" x14ac:dyDescent="0.25">
      <c r="A39" s="6" t="s">
        <v>886</v>
      </c>
      <c r="B39" s="7" t="s">
        <v>887</v>
      </c>
      <c r="C39" s="8">
        <v>1</v>
      </c>
      <c r="D39" s="9">
        <v>39.99</v>
      </c>
      <c r="E39" s="8" t="s">
        <v>888</v>
      </c>
      <c r="F39" s="7" t="s">
        <v>1519</v>
      </c>
      <c r="G39" s="10"/>
      <c r="H39" s="7" t="s">
        <v>1550</v>
      </c>
      <c r="I39" s="7" t="s">
        <v>1617</v>
      </c>
      <c r="J39" s="7" t="s">
        <v>1461</v>
      </c>
      <c r="K39" s="7"/>
      <c r="L39" s="11" t="str">
        <f>HYPERLINK("http://slimages.macys.com/is/image/MCY/11640178 ")</f>
        <v xml:space="preserve">http://slimages.macys.com/is/image/MCY/11640178 </v>
      </c>
    </row>
    <row r="40" spans="1:12" ht="39.950000000000003" customHeight="1" x14ac:dyDescent="0.25">
      <c r="A40" s="6" t="s">
        <v>2281</v>
      </c>
      <c r="B40" s="7" t="s">
        <v>2282</v>
      </c>
      <c r="C40" s="8">
        <v>1</v>
      </c>
      <c r="D40" s="9">
        <v>29.99</v>
      </c>
      <c r="E40" s="8" t="s">
        <v>2283</v>
      </c>
      <c r="F40" s="7" t="s">
        <v>1544</v>
      </c>
      <c r="G40" s="10"/>
      <c r="H40" s="7" t="s">
        <v>1545</v>
      </c>
      <c r="I40" s="7" t="s">
        <v>1546</v>
      </c>
      <c r="J40" s="7" t="s">
        <v>1461</v>
      </c>
      <c r="K40" s="7" t="s">
        <v>2284</v>
      </c>
      <c r="L40" s="11" t="str">
        <f>HYPERLINK("http://slimages.macys.com/is/image/MCY/14607258 ")</f>
        <v xml:space="preserve">http://slimages.macys.com/is/image/MCY/14607258 </v>
      </c>
    </row>
    <row r="41" spans="1:12" ht="39.950000000000003" customHeight="1" x14ac:dyDescent="0.25">
      <c r="A41" s="6" t="s">
        <v>1000</v>
      </c>
      <c r="B41" s="7" t="s">
        <v>1001</v>
      </c>
      <c r="C41" s="8">
        <v>1</v>
      </c>
      <c r="D41" s="9">
        <v>14.99</v>
      </c>
      <c r="E41" s="8" t="s">
        <v>1002</v>
      </c>
      <c r="F41" s="7" t="s">
        <v>1477</v>
      </c>
      <c r="G41" s="10"/>
      <c r="H41" s="7" t="s">
        <v>1605</v>
      </c>
      <c r="I41" s="7" t="s">
        <v>817</v>
      </c>
      <c r="J41" s="7" t="s">
        <v>1461</v>
      </c>
      <c r="K41" s="7" t="s">
        <v>1003</v>
      </c>
      <c r="L41" s="11" t="str">
        <f>HYPERLINK("http://slimages.macys.com/is/image/MCY/3425804 ")</f>
        <v xml:space="preserve">http://slimages.macys.com/is/image/MCY/3425804 </v>
      </c>
    </row>
    <row r="42" spans="1:12" ht="39.950000000000003" customHeight="1" x14ac:dyDescent="0.25">
      <c r="A42" s="6" t="s">
        <v>889</v>
      </c>
      <c r="B42" s="7" t="s">
        <v>890</v>
      </c>
      <c r="C42" s="8">
        <v>2</v>
      </c>
      <c r="D42" s="9">
        <v>25.98</v>
      </c>
      <c r="E42" s="8" t="s">
        <v>891</v>
      </c>
      <c r="F42" s="7" t="s">
        <v>1554</v>
      </c>
      <c r="G42" s="10" t="s">
        <v>1577</v>
      </c>
      <c r="H42" s="7" t="s">
        <v>1628</v>
      </c>
      <c r="I42" s="7" t="s">
        <v>1777</v>
      </c>
      <c r="J42" s="7"/>
      <c r="K42" s="7"/>
      <c r="L42" s="11" t="str">
        <f>HYPERLINK("http://slimages.macys.com/is/image/MCY/17309981 ")</f>
        <v xml:space="preserve">http://slimages.macys.com/is/image/MCY/17309981 </v>
      </c>
    </row>
    <row r="43" spans="1:12" ht="39.950000000000003" customHeight="1" x14ac:dyDescent="0.25">
      <c r="A43" s="6" t="s">
        <v>2290</v>
      </c>
      <c r="B43" s="7" t="s">
        <v>2291</v>
      </c>
      <c r="C43" s="8">
        <v>5</v>
      </c>
      <c r="D43" s="9">
        <v>74.95</v>
      </c>
      <c r="E43" s="8" t="s">
        <v>2292</v>
      </c>
      <c r="F43" s="7" t="s">
        <v>1505</v>
      </c>
      <c r="G43" s="10" t="s">
        <v>2241</v>
      </c>
      <c r="H43" s="7" t="s">
        <v>1506</v>
      </c>
      <c r="I43" s="7" t="s">
        <v>2276</v>
      </c>
      <c r="J43" s="7"/>
      <c r="K43" s="7"/>
      <c r="L43" s="11" t="str">
        <f>HYPERLINK("http://slimages.macys.com/is/image/MCY/17620637 ")</f>
        <v xml:space="preserve">http://slimages.macys.com/is/image/MCY/17620637 </v>
      </c>
    </row>
    <row r="44" spans="1:12" ht="39.950000000000003" customHeight="1" x14ac:dyDescent="0.25">
      <c r="A44" s="6" t="s">
        <v>1004</v>
      </c>
      <c r="B44" s="7" t="s">
        <v>1005</v>
      </c>
      <c r="C44" s="8">
        <v>1</v>
      </c>
      <c r="D44" s="9">
        <v>14.99</v>
      </c>
      <c r="E44" s="8" t="s">
        <v>1006</v>
      </c>
      <c r="F44" s="7" t="s">
        <v>1785</v>
      </c>
      <c r="G44" s="10" t="s">
        <v>882</v>
      </c>
      <c r="H44" s="7" t="s">
        <v>1605</v>
      </c>
      <c r="I44" s="7" t="s">
        <v>902</v>
      </c>
      <c r="J44" s="7"/>
      <c r="K44" s="7"/>
      <c r="L44" s="11" t="str">
        <f>HYPERLINK("http://slimages.macys.com/is/image/MCY/16911711 ")</f>
        <v xml:space="preserve">http://slimages.macys.com/is/image/MCY/16911711 </v>
      </c>
    </row>
    <row r="45" spans="1:12" ht="39.950000000000003" customHeight="1" x14ac:dyDescent="0.25">
      <c r="A45" s="6" t="s">
        <v>1007</v>
      </c>
      <c r="B45" s="7" t="s">
        <v>947</v>
      </c>
      <c r="C45" s="8">
        <v>1</v>
      </c>
      <c r="D45" s="9">
        <v>12.99</v>
      </c>
      <c r="E45" s="8" t="s">
        <v>1008</v>
      </c>
      <c r="F45" s="7" t="s">
        <v>1458</v>
      </c>
      <c r="G45" s="10" t="s">
        <v>2177</v>
      </c>
      <c r="H45" s="7" t="s">
        <v>1628</v>
      </c>
      <c r="I45" s="7" t="s">
        <v>949</v>
      </c>
      <c r="J45" s="7" t="s">
        <v>1461</v>
      </c>
      <c r="K45" s="7" t="s">
        <v>1527</v>
      </c>
      <c r="L45" s="11" t="str">
        <f>HYPERLINK("http://images.bloomingdales.com/is/image/BLM/8291037 ")</f>
        <v xml:space="preserve">http://images.bloomingdales.com/is/image/BLM/8291037 </v>
      </c>
    </row>
    <row r="46" spans="1:12" ht="39.950000000000003" customHeight="1" x14ac:dyDescent="0.25">
      <c r="A46" s="6" t="s">
        <v>1009</v>
      </c>
      <c r="B46" s="7" t="s">
        <v>947</v>
      </c>
      <c r="C46" s="8">
        <v>1</v>
      </c>
      <c r="D46" s="9">
        <v>12.99</v>
      </c>
      <c r="E46" s="8" t="s">
        <v>1010</v>
      </c>
      <c r="F46" s="7" t="s">
        <v>1458</v>
      </c>
      <c r="G46" s="10" t="s">
        <v>2177</v>
      </c>
      <c r="H46" s="7" t="s">
        <v>1628</v>
      </c>
      <c r="I46" s="7" t="s">
        <v>949</v>
      </c>
      <c r="J46" s="7" t="s">
        <v>1461</v>
      </c>
      <c r="K46" s="7" t="s">
        <v>1527</v>
      </c>
      <c r="L46" s="11" t="str">
        <f>HYPERLINK("http://images.bloomingdales.com/is/image/BLM/8291037 ")</f>
        <v xml:space="preserve">http://images.bloomingdales.com/is/image/BLM/8291037 </v>
      </c>
    </row>
    <row r="47" spans="1:12" ht="39.950000000000003" customHeight="1" x14ac:dyDescent="0.25">
      <c r="A47" s="6" t="s">
        <v>1011</v>
      </c>
      <c r="B47" s="7" t="s">
        <v>947</v>
      </c>
      <c r="C47" s="8">
        <v>1</v>
      </c>
      <c r="D47" s="9">
        <v>12.99</v>
      </c>
      <c r="E47" s="8" t="s">
        <v>1012</v>
      </c>
      <c r="F47" s="7" t="s">
        <v>1458</v>
      </c>
      <c r="G47" s="10" t="s">
        <v>2177</v>
      </c>
      <c r="H47" s="7" t="s">
        <v>1628</v>
      </c>
      <c r="I47" s="7" t="s">
        <v>949</v>
      </c>
      <c r="J47" s="7" t="s">
        <v>1461</v>
      </c>
      <c r="K47" s="7" t="s">
        <v>1527</v>
      </c>
      <c r="L47" s="11" t="str">
        <f>HYPERLINK("http://images.bloomingdales.com/is/image/BLM/8291037 ")</f>
        <v xml:space="preserve">http://images.bloomingdales.com/is/image/BLM/8291037 </v>
      </c>
    </row>
    <row r="48" spans="1:12" ht="39.950000000000003" customHeight="1" x14ac:dyDescent="0.25">
      <c r="A48" s="6" t="s">
        <v>1013</v>
      </c>
      <c r="B48" s="7" t="s">
        <v>1014</v>
      </c>
      <c r="C48" s="8">
        <v>2</v>
      </c>
      <c r="D48" s="9">
        <v>19.98</v>
      </c>
      <c r="E48" s="8" t="s">
        <v>1015</v>
      </c>
      <c r="F48" s="7" t="s">
        <v>1776</v>
      </c>
      <c r="G48" s="10" t="s">
        <v>2177</v>
      </c>
      <c r="H48" s="7" t="s">
        <v>1628</v>
      </c>
      <c r="I48" s="7" t="s">
        <v>1777</v>
      </c>
      <c r="J48" s="7" t="s">
        <v>1461</v>
      </c>
      <c r="K48" s="7" t="s">
        <v>1016</v>
      </c>
      <c r="L48" s="11" t="str">
        <f>HYPERLINK("http://slimages.macys.com/is/image/MCY/10476309 ")</f>
        <v xml:space="preserve">http://slimages.macys.com/is/image/MCY/10476309 </v>
      </c>
    </row>
    <row r="49" spans="1:12" ht="39.950000000000003" customHeight="1" x14ac:dyDescent="0.25">
      <c r="A49" s="6" t="s">
        <v>1017</v>
      </c>
      <c r="B49" s="7" t="s">
        <v>1018</v>
      </c>
      <c r="C49" s="8">
        <v>1</v>
      </c>
      <c r="D49" s="9">
        <v>9.99</v>
      </c>
      <c r="E49" s="8" t="s">
        <v>1019</v>
      </c>
      <c r="F49" s="7" t="s">
        <v>2187</v>
      </c>
      <c r="G49" s="10" t="s">
        <v>2177</v>
      </c>
      <c r="H49" s="7" t="s">
        <v>1628</v>
      </c>
      <c r="I49" s="7" t="s">
        <v>1777</v>
      </c>
      <c r="J49" s="7" t="s">
        <v>997</v>
      </c>
      <c r="K49" s="7"/>
      <c r="L49" s="11" t="str">
        <f>HYPERLINK("http://slimages.macys.com/is/image/MCY/8763894 ")</f>
        <v xml:space="preserve">http://slimages.macys.com/is/image/MCY/8763894 </v>
      </c>
    </row>
    <row r="50" spans="1:12" ht="39.950000000000003" customHeight="1" x14ac:dyDescent="0.25">
      <c r="A50" s="6" t="s">
        <v>1020</v>
      </c>
      <c r="B50" s="7" t="s">
        <v>1021</v>
      </c>
      <c r="C50" s="8">
        <v>2</v>
      </c>
      <c r="D50" s="9">
        <v>19.98</v>
      </c>
      <c r="E50" s="8" t="s">
        <v>1022</v>
      </c>
      <c r="F50" s="7" t="s">
        <v>1632</v>
      </c>
      <c r="G50" s="10" t="s">
        <v>1648</v>
      </c>
      <c r="H50" s="7" t="s">
        <v>1628</v>
      </c>
      <c r="I50" s="7" t="s">
        <v>1556</v>
      </c>
      <c r="J50" s="7" t="s">
        <v>1461</v>
      </c>
      <c r="K50" s="7" t="s">
        <v>1623</v>
      </c>
      <c r="L50" s="11" t="str">
        <f>HYPERLINK("http://slimages.macys.com/is/image/MCY/10164260 ")</f>
        <v xml:space="preserve">http://slimages.macys.com/is/image/MCY/10164260 </v>
      </c>
    </row>
    <row r="51" spans="1:12" ht="39.950000000000003" customHeight="1" x14ac:dyDescent="0.25">
      <c r="A51" s="6" t="s">
        <v>1023</v>
      </c>
      <c r="B51" s="7" t="s">
        <v>947</v>
      </c>
      <c r="C51" s="8">
        <v>2</v>
      </c>
      <c r="D51" s="9">
        <v>19.98</v>
      </c>
      <c r="E51" s="8" t="s">
        <v>1024</v>
      </c>
      <c r="F51" s="7" t="s">
        <v>1458</v>
      </c>
      <c r="G51" s="10" t="s">
        <v>1648</v>
      </c>
      <c r="H51" s="7" t="s">
        <v>1628</v>
      </c>
      <c r="I51" s="7" t="s">
        <v>949</v>
      </c>
      <c r="J51" s="7" t="s">
        <v>1461</v>
      </c>
      <c r="K51" s="7" t="s">
        <v>1527</v>
      </c>
      <c r="L51" s="11" t="str">
        <f>HYPERLINK("http://images.bloomingdales.com/is/image/BLM/8291037 ")</f>
        <v xml:space="preserve">http://images.bloomingdales.com/is/image/BLM/8291037 </v>
      </c>
    </row>
    <row r="52" spans="1:12" ht="39.950000000000003" customHeight="1" x14ac:dyDescent="0.25">
      <c r="A52" s="6" t="s">
        <v>1025</v>
      </c>
      <c r="B52" s="7" t="s">
        <v>1026</v>
      </c>
      <c r="C52" s="8">
        <v>2</v>
      </c>
      <c r="D52" s="9">
        <v>15.98</v>
      </c>
      <c r="E52" s="8" t="s">
        <v>1027</v>
      </c>
      <c r="F52" s="7" t="s">
        <v>1627</v>
      </c>
      <c r="G52" s="10" t="s">
        <v>1648</v>
      </c>
      <c r="H52" s="7" t="s">
        <v>1628</v>
      </c>
      <c r="I52" s="7" t="s">
        <v>1501</v>
      </c>
      <c r="J52" s="7"/>
      <c r="K52" s="7"/>
      <c r="L52" s="11" t="str">
        <f>HYPERLINK("http://images.bloomingdales.com/is/image/BLM/116537 ")</f>
        <v xml:space="preserve">http://images.bloomingdales.com/is/image/BLM/116537 </v>
      </c>
    </row>
    <row r="53" spans="1:12" ht="39.950000000000003" customHeight="1" x14ac:dyDescent="0.25">
      <c r="A53" s="6" t="s">
        <v>1028</v>
      </c>
      <c r="B53" s="7" t="s">
        <v>1029</v>
      </c>
      <c r="C53" s="8">
        <v>1</v>
      </c>
      <c r="D53" s="9">
        <v>4.99</v>
      </c>
      <c r="E53" s="8" t="s">
        <v>1030</v>
      </c>
      <c r="F53" s="7" t="s">
        <v>1637</v>
      </c>
      <c r="G53" s="10" t="s">
        <v>1648</v>
      </c>
      <c r="H53" s="7" t="s">
        <v>1628</v>
      </c>
      <c r="I53" s="7" t="s">
        <v>1777</v>
      </c>
      <c r="J53" s="7"/>
      <c r="K53" s="7"/>
      <c r="L53" s="11" t="str">
        <f>HYPERLINK("http://slimages.macys.com/is/image/MCY/17309973 ")</f>
        <v xml:space="preserve">http://slimages.macys.com/is/image/MCY/17309973 </v>
      </c>
    </row>
    <row r="54" spans="1:12" ht="39.950000000000003" customHeight="1" x14ac:dyDescent="0.25">
      <c r="A54" s="6" t="s">
        <v>1031</v>
      </c>
      <c r="B54" s="7" t="s">
        <v>1032</v>
      </c>
      <c r="C54" s="8">
        <v>1</v>
      </c>
      <c r="D54" s="9">
        <v>6.99</v>
      </c>
      <c r="E54" s="8">
        <v>1003699300</v>
      </c>
      <c r="F54" s="7" t="s">
        <v>1482</v>
      </c>
      <c r="G54" s="10" t="s">
        <v>1648</v>
      </c>
      <c r="H54" s="7" t="s">
        <v>1578</v>
      </c>
      <c r="I54" s="7" t="s">
        <v>1617</v>
      </c>
      <c r="J54" s="7" t="s">
        <v>1461</v>
      </c>
      <c r="K54" s="7" t="s">
        <v>2018</v>
      </c>
      <c r="L54" s="11" t="str">
        <f>HYPERLINK("http://slimages.macys.com/is/image/MCY/11480705 ")</f>
        <v xml:space="preserve">http://slimages.macys.com/is/image/MCY/11480705 </v>
      </c>
    </row>
    <row r="55" spans="1:12" ht="39.950000000000003" customHeight="1" x14ac:dyDescent="0.25">
      <c r="A55" s="6" t="s">
        <v>1033</v>
      </c>
      <c r="B55" s="7" t="s">
        <v>1034</v>
      </c>
      <c r="C55" s="8">
        <v>1</v>
      </c>
      <c r="D55" s="9">
        <v>3.99</v>
      </c>
      <c r="E55" s="8" t="s">
        <v>1035</v>
      </c>
      <c r="F55" s="7" t="s">
        <v>1587</v>
      </c>
      <c r="G55" s="10" t="s">
        <v>1648</v>
      </c>
      <c r="H55" s="7" t="s">
        <v>1628</v>
      </c>
      <c r="I55" s="7" t="s">
        <v>1799</v>
      </c>
      <c r="J55" s="7" t="s">
        <v>1461</v>
      </c>
      <c r="K55" s="7" t="s">
        <v>1623</v>
      </c>
      <c r="L55" s="11" t="str">
        <f>HYPERLINK("http://slimages.macys.com/is/image/MCY/11926122 ")</f>
        <v xml:space="preserve">http://slimages.macys.com/is/image/MCY/11926122 </v>
      </c>
    </row>
    <row r="56" spans="1:12" ht="39.950000000000003" customHeight="1" x14ac:dyDescent="0.25">
      <c r="A56" s="6" t="s">
        <v>1036</v>
      </c>
      <c r="B56" s="7" t="s">
        <v>1037</v>
      </c>
      <c r="C56" s="8">
        <v>2</v>
      </c>
      <c r="D56" s="9">
        <v>15.98</v>
      </c>
      <c r="E56" s="8">
        <v>1005083000</v>
      </c>
      <c r="F56" s="7" t="s">
        <v>1711</v>
      </c>
      <c r="G56" s="10" t="s">
        <v>1648</v>
      </c>
      <c r="H56" s="7" t="s">
        <v>1578</v>
      </c>
      <c r="I56" s="7" t="s">
        <v>1617</v>
      </c>
      <c r="J56" s="7" t="s">
        <v>1461</v>
      </c>
      <c r="K56" s="7" t="s">
        <v>2018</v>
      </c>
      <c r="L56" s="11" t="str">
        <f>HYPERLINK("http://slimages.macys.com/is/image/MCY/11709733 ")</f>
        <v xml:space="preserve">http://slimages.macys.com/is/image/MCY/11709733 </v>
      </c>
    </row>
    <row r="57" spans="1:12" ht="39.950000000000003" customHeight="1" x14ac:dyDescent="0.25">
      <c r="A57" s="6" t="s">
        <v>1038</v>
      </c>
      <c r="B57" s="7" t="s">
        <v>1039</v>
      </c>
      <c r="C57" s="8">
        <v>1</v>
      </c>
      <c r="D57" s="9">
        <v>6.99</v>
      </c>
      <c r="E57" s="8" t="s">
        <v>1040</v>
      </c>
      <c r="F57" s="7" t="s">
        <v>1868</v>
      </c>
      <c r="G57" s="10" t="s">
        <v>2177</v>
      </c>
      <c r="H57" s="7" t="s">
        <v>1628</v>
      </c>
      <c r="I57" s="7" t="s">
        <v>1501</v>
      </c>
      <c r="J57" s="7"/>
      <c r="K57" s="7"/>
      <c r="L57" s="11"/>
    </row>
    <row r="58" spans="1:12" ht="39.950000000000003" customHeight="1" x14ac:dyDescent="0.25">
      <c r="A58" s="6"/>
      <c r="B58" s="7"/>
      <c r="C58" s="8"/>
      <c r="D58" s="9"/>
      <c r="E58" s="8"/>
      <c r="F58" s="7"/>
      <c r="G58" s="10"/>
      <c r="H58" s="7"/>
      <c r="I58" s="7"/>
      <c r="J58" s="7"/>
      <c r="K58" s="7"/>
      <c r="L58" s="11"/>
    </row>
    <row r="59" spans="1:12" ht="39.950000000000003" customHeight="1" x14ac:dyDescent="0.25">
      <c r="A59" s="6"/>
      <c r="B59" s="7"/>
      <c r="C59" s="8"/>
      <c r="D59" s="9"/>
      <c r="E59" s="8"/>
      <c r="F59" s="7"/>
      <c r="G59" s="10"/>
      <c r="H59" s="7"/>
      <c r="I59" s="7"/>
      <c r="J59" s="7"/>
      <c r="K59" s="7"/>
      <c r="L59" s="11"/>
    </row>
    <row r="60" spans="1:12" ht="39.950000000000003" customHeight="1" x14ac:dyDescent="0.25">
      <c r="A60" s="6"/>
      <c r="B60" s="7"/>
      <c r="C60" s="8"/>
      <c r="D60" s="9"/>
      <c r="E60" s="8"/>
      <c r="F60" s="7"/>
      <c r="G60" s="10"/>
      <c r="H60" s="7"/>
      <c r="I60" s="7"/>
      <c r="J60" s="7"/>
      <c r="K60" s="7"/>
      <c r="L60" s="11"/>
    </row>
    <row r="61" spans="1:12" ht="39.950000000000003" customHeight="1" x14ac:dyDescent="0.25">
      <c r="A61" s="6"/>
      <c r="B61" s="7"/>
      <c r="C61" s="8"/>
      <c r="D61" s="9"/>
      <c r="E61" s="8"/>
      <c r="F61" s="7"/>
      <c r="G61" s="10"/>
      <c r="H61" s="7"/>
      <c r="I61" s="7"/>
      <c r="J61" s="7"/>
      <c r="K61" s="7"/>
      <c r="L61" s="11"/>
    </row>
    <row r="62" spans="1:12" ht="39.950000000000003" customHeight="1" x14ac:dyDescent="0.25">
      <c r="A62" s="6"/>
      <c r="B62" s="7"/>
      <c r="C62" s="8"/>
      <c r="D62" s="9"/>
      <c r="E62" s="8"/>
      <c r="F62" s="7"/>
      <c r="G62" s="10"/>
      <c r="H62" s="7"/>
      <c r="I62" s="7"/>
      <c r="J62" s="7"/>
      <c r="K62" s="7"/>
      <c r="L62" s="11"/>
    </row>
    <row r="63" spans="1:12" ht="39.950000000000003" customHeight="1" x14ac:dyDescent="0.25">
      <c r="A63" s="6"/>
      <c r="B63" s="7"/>
      <c r="C63" s="8"/>
      <c r="D63" s="9"/>
      <c r="E63" s="8"/>
      <c r="F63" s="7"/>
      <c r="G63" s="10"/>
      <c r="H63" s="7"/>
      <c r="I63" s="7"/>
      <c r="J63" s="7"/>
      <c r="K63" s="7"/>
      <c r="L63" s="11"/>
    </row>
  </sheetData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A25" sqref="A25"/>
    </sheetView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1041</v>
      </c>
      <c r="B2" s="7" t="s">
        <v>1042</v>
      </c>
      <c r="C2" s="8">
        <v>1</v>
      </c>
      <c r="D2" s="9">
        <v>219.99</v>
      </c>
      <c r="E2" s="8" t="s">
        <v>1043</v>
      </c>
      <c r="F2" s="7" t="s">
        <v>1458</v>
      </c>
      <c r="G2" s="10" t="s">
        <v>2096</v>
      </c>
      <c r="H2" s="7" t="s">
        <v>1851</v>
      </c>
      <c r="I2" s="7" t="s">
        <v>1460</v>
      </c>
      <c r="J2" s="7" t="s">
        <v>1461</v>
      </c>
      <c r="K2" s="7" t="s">
        <v>1044</v>
      </c>
      <c r="L2" s="11" t="str">
        <f>HYPERLINK("http://slimages.macys.com/is/image/MCY/3962581 ")</f>
        <v xml:space="preserve">http://slimages.macys.com/is/image/MCY/3962581 </v>
      </c>
    </row>
    <row r="3" spans="1:12" ht="39.950000000000003" customHeight="1" x14ac:dyDescent="0.25">
      <c r="A3" s="6" t="s">
        <v>1045</v>
      </c>
      <c r="B3" s="7" t="s">
        <v>1046</v>
      </c>
      <c r="C3" s="8">
        <v>1</v>
      </c>
      <c r="D3" s="9">
        <v>299.99</v>
      </c>
      <c r="E3" s="8" t="s">
        <v>1047</v>
      </c>
      <c r="F3" s="7" t="s">
        <v>1458</v>
      </c>
      <c r="G3" s="10" t="s">
        <v>1466</v>
      </c>
      <c r="H3" s="7" t="s">
        <v>1467</v>
      </c>
      <c r="I3" s="7" t="s">
        <v>1473</v>
      </c>
      <c r="J3" s="7" t="s">
        <v>1461</v>
      </c>
      <c r="K3" s="7" t="s">
        <v>2369</v>
      </c>
      <c r="L3" s="11" t="str">
        <f>HYPERLINK("http://slimages.macys.com/is/image/MCY/11953123 ")</f>
        <v xml:space="preserve">http://slimages.macys.com/is/image/MCY/11953123 </v>
      </c>
    </row>
    <row r="4" spans="1:12" ht="39.950000000000003" customHeight="1" x14ac:dyDescent="0.25">
      <c r="A4" s="6" t="s">
        <v>1048</v>
      </c>
      <c r="B4" s="7" t="s">
        <v>1049</v>
      </c>
      <c r="C4" s="8">
        <v>1</v>
      </c>
      <c r="D4" s="9">
        <v>179.99</v>
      </c>
      <c r="E4" s="8">
        <v>221453</v>
      </c>
      <c r="F4" s="7" t="s">
        <v>1597</v>
      </c>
      <c r="G4" s="10"/>
      <c r="H4" s="7" t="s">
        <v>918</v>
      </c>
      <c r="I4" s="7" t="s">
        <v>1050</v>
      </c>
      <c r="J4" s="7" t="s">
        <v>1461</v>
      </c>
      <c r="K4" s="7" t="s">
        <v>1051</v>
      </c>
      <c r="L4" s="11" t="str">
        <f>HYPERLINK("http://slimages.macys.com/is/image/MCY/9936719 ")</f>
        <v xml:space="preserve">http://slimages.macys.com/is/image/MCY/9936719 </v>
      </c>
    </row>
    <row r="5" spans="1:12" ht="39.950000000000003" customHeight="1" x14ac:dyDescent="0.25">
      <c r="A5" s="6" t="s">
        <v>1052</v>
      </c>
      <c r="B5" s="7" t="s">
        <v>1053</v>
      </c>
      <c r="C5" s="8">
        <v>1</v>
      </c>
      <c r="D5" s="9">
        <v>249.99</v>
      </c>
      <c r="E5" s="8" t="s">
        <v>1054</v>
      </c>
      <c r="F5" s="7" t="s">
        <v>1458</v>
      </c>
      <c r="G5" s="10"/>
      <c r="H5" s="7" t="s">
        <v>1467</v>
      </c>
      <c r="I5" s="7" t="s">
        <v>1712</v>
      </c>
      <c r="J5" s="7"/>
      <c r="K5" s="7"/>
      <c r="L5" s="11" t="str">
        <f>HYPERLINK("http://slimages.macys.com/is/image/MCY/17481062 ")</f>
        <v xml:space="preserve">http://slimages.macys.com/is/image/MCY/17481062 </v>
      </c>
    </row>
    <row r="6" spans="1:12" ht="39.950000000000003" customHeight="1" x14ac:dyDescent="0.25">
      <c r="A6" s="6" t="s">
        <v>1055</v>
      </c>
      <c r="B6" s="7" t="s">
        <v>1056</v>
      </c>
      <c r="C6" s="8">
        <v>1</v>
      </c>
      <c r="D6" s="9">
        <v>199.99</v>
      </c>
      <c r="E6" s="8" t="s">
        <v>1057</v>
      </c>
      <c r="F6" s="7" t="s">
        <v>1544</v>
      </c>
      <c r="G6" s="10"/>
      <c r="H6" s="7" t="s">
        <v>1467</v>
      </c>
      <c r="I6" s="7" t="s">
        <v>1468</v>
      </c>
      <c r="J6" s="7" t="s">
        <v>1461</v>
      </c>
      <c r="K6" s="7"/>
      <c r="L6" s="11" t="str">
        <f>HYPERLINK("http://slimages.macys.com/is/image/MCY/10467368 ")</f>
        <v xml:space="preserve">http://slimages.macys.com/is/image/MCY/10467368 </v>
      </c>
    </row>
    <row r="7" spans="1:12" ht="39.950000000000003" customHeight="1" x14ac:dyDescent="0.25">
      <c r="A7" s="6" t="s">
        <v>1058</v>
      </c>
      <c r="B7" s="7" t="s">
        <v>1059</v>
      </c>
      <c r="C7" s="8">
        <v>1</v>
      </c>
      <c r="D7" s="9">
        <v>249.99</v>
      </c>
      <c r="E7" s="8" t="s">
        <v>1060</v>
      </c>
      <c r="F7" s="7" t="s">
        <v>1477</v>
      </c>
      <c r="G7" s="10"/>
      <c r="H7" s="7" t="s">
        <v>1467</v>
      </c>
      <c r="I7" s="7" t="s">
        <v>1751</v>
      </c>
      <c r="J7" s="7" t="s">
        <v>1600</v>
      </c>
      <c r="K7" s="7" t="s">
        <v>1061</v>
      </c>
      <c r="L7" s="11" t="str">
        <f>HYPERLINK("http://slimages.macys.com/is/image/MCY/12354497 ")</f>
        <v xml:space="preserve">http://slimages.macys.com/is/image/MCY/12354497 </v>
      </c>
    </row>
    <row r="8" spans="1:12" ht="39.950000000000003" customHeight="1" x14ac:dyDescent="0.25">
      <c r="A8" s="6" t="s">
        <v>1062</v>
      </c>
      <c r="B8" s="7" t="s">
        <v>1063</v>
      </c>
      <c r="C8" s="8">
        <v>1</v>
      </c>
      <c r="D8" s="9">
        <v>169.99</v>
      </c>
      <c r="E8" s="8" t="s">
        <v>1064</v>
      </c>
      <c r="F8" s="7" t="s">
        <v>1458</v>
      </c>
      <c r="G8" s="10"/>
      <c r="H8" s="7" t="s">
        <v>1851</v>
      </c>
      <c r="I8" s="7" t="s">
        <v>1460</v>
      </c>
      <c r="J8" s="7" t="s">
        <v>1461</v>
      </c>
      <c r="K8" s="7" t="s">
        <v>1044</v>
      </c>
      <c r="L8" s="11" t="str">
        <f>HYPERLINK("http://slimages.macys.com/is/image/MCY/3962581 ")</f>
        <v xml:space="preserve">http://slimages.macys.com/is/image/MCY/3962581 </v>
      </c>
    </row>
    <row r="9" spans="1:12" ht="39.950000000000003" customHeight="1" x14ac:dyDescent="0.25">
      <c r="A9" s="6" t="s">
        <v>1065</v>
      </c>
      <c r="B9" s="7" t="s">
        <v>1066</v>
      </c>
      <c r="C9" s="8">
        <v>1</v>
      </c>
      <c r="D9" s="9">
        <v>199.99</v>
      </c>
      <c r="E9" s="8" t="s">
        <v>1067</v>
      </c>
      <c r="F9" s="7" t="s">
        <v>1458</v>
      </c>
      <c r="G9" s="10"/>
      <c r="H9" s="7" t="s">
        <v>1467</v>
      </c>
      <c r="I9" s="7" t="s">
        <v>1468</v>
      </c>
      <c r="J9" s="7"/>
      <c r="K9" s="7"/>
      <c r="L9" s="11" t="str">
        <f>HYPERLINK("http://slimages.macys.com/is/image/MCY/18173139 ")</f>
        <v xml:space="preserve">http://slimages.macys.com/is/image/MCY/18173139 </v>
      </c>
    </row>
    <row r="10" spans="1:12" ht="39.950000000000003" customHeight="1" x14ac:dyDescent="0.25">
      <c r="A10" s="6" t="s">
        <v>1068</v>
      </c>
      <c r="B10" s="7" t="s">
        <v>1069</v>
      </c>
      <c r="C10" s="8">
        <v>1</v>
      </c>
      <c r="D10" s="9">
        <v>169.99</v>
      </c>
      <c r="E10" s="8" t="s">
        <v>1070</v>
      </c>
      <c r="F10" s="7" t="s">
        <v>1458</v>
      </c>
      <c r="G10" s="10"/>
      <c r="H10" s="7" t="s">
        <v>1545</v>
      </c>
      <c r="I10" s="7" t="s">
        <v>1546</v>
      </c>
      <c r="J10" s="7"/>
      <c r="K10" s="7"/>
      <c r="L10" s="11" t="str">
        <f>HYPERLINK("http://slimages.macys.com/is/image/MCY/18941500 ")</f>
        <v xml:space="preserve">http://slimages.macys.com/is/image/MCY/18941500 </v>
      </c>
    </row>
    <row r="11" spans="1:12" ht="39.950000000000003" customHeight="1" x14ac:dyDescent="0.25">
      <c r="A11" s="6" t="s">
        <v>1071</v>
      </c>
      <c r="B11" s="7" t="s">
        <v>1072</v>
      </c>
      <c r="C11" s="8">
        <v>1</v>
      </c>
      <c r="D11" s="9">
        <v>149.99</v>
      </c>
      <c r="E11" s="8" t="s">
        <v>1073</v>
      </c>
      <c r="F11" s="7" t="s">
        <v>1519</v>
      </c>
      <c r="G11" s="10"/>
      <c r="H11" s="7" t="s">
        <v>1550</v>
      </c>
      <c r="I11" s="7" t="s">
        <v>1617</v>
      </c>
      <c r="J11" s="7" t="s">
        <v>1600</v>
      </c>
      <c r="K11" s="7" t="s">
        <v>1074</v>
      </c>
      <c r="L11" s="11" t="str">
        <f>HYPERLINK("http://slimages.macys.com/is/image/MCY/10264817 ")</f>
        <v xml:space="preserve">http://slimages.macys.com/is/image/MCY/10264817 </v>
      </c>
    </row>
    <row r="12" spans="1:12" ht="39.950000000000003" customHeight="1" x14ac:dyDescent="0.25">
      <c r="A12" s="6" t="s">
        <v>1075</v>
      </c>
      <c r="B12" s="7" t="s">
        <v>1076</v>
      </c>
      <c r="C12" s="8">
        <v>1</v>
      </c>
      <c r="D12" s="9">
        <v>159.99</v>
      </c>
      <c r="E12" s="8" t="s">
        <v>1077</v>
      </c>
      <c r="F12" s="7" t="s">
        <v>1458</v>
      </c>
      <c r="G12" s="10" t="s">
        <v>1466</v>
      </c>
      <c r="H12" s="7" t="s">
        <v>1550</v>
      </c>
      <c r="I12" s="7" t="s">
        <v>1551</v>
      </c>
      <c r="J12" s="7"/>
      <c r="K12" s="7"/>
      <c r="L12" s="11" t="str">
        <f>HYPERLINK("http://slimages.macys.com/is/image/MCY/17912472 ")</f>
        <v xml:space="preserve">http://slimages.macys.com/is/image/MCY/17912472 </v>
      </c>
    </row>
    <row r="13" spans="1:12" ht="39.950000000000003" customHeight="1" x14ac:dyDescent="0.25">
      <c r="A13" s="6" t="s">
        <v>1078</v>
      </c>
      <c r="B13" s="7" t="s">
        <v>1079</v>
      </c>
      <c r="C13" s="8">
        <v>1</v>
      </c>
      <c r="D13" s="9">
        <v>119.99</v>
      </c>
      <c r="E13" s="8" t="s">
        <v>1080</v>
      </c>
      <c r="F13" s="7" t="s">
        <v>1482</v>
      </c>
      <c r="G13" s="10"/>
      <c r="H13" s="7" t="s">
        <v>1550</v>
      </c>
      <c r="I13" s="7" t="s">
        <v>1790</v>
      </c>
      <c r="J13" s="7"/>
      <c r="K13" s="7"/>
      <c r="L13" s="11" t="str">
        <f>HYPERLINK("http://slimages.macys.com/is/image/MCY/17662359 ")</f>
        <v xml:space="preserve">http://slimages.macys.com/is/image/MCY/17662359 </v>
      </c>
    </row>
    <row r="14" spans="1:12" ht="39.950000000000003" customHeight="1" x14ac:dyDescent="0.25">
      <c r="A14" s="6" t="s">
        <v>1081</v>
      </c>
      <c r="B14" s="7" t="s">
        <v>1082</v>
      </c>
      <c r="C14" s="8">
        <v>1</v>
      </c>
      <c r="D14" s="9">
        <v>119.99</v>
      </c>
      <c r="E14" s="8" t="s">
        <v>1083</v>
      </c>
      <c r="F14" s="7" t="s">
        <v>1627</v>
      </c>
      <c r="G14" s="10"/>
      <c r="H14" s="7" t="s">
        <v>1496</v>
      </c>
      <c r="I14" s="7" t="s">
        <v>1526</v>
      </c>
      <c r="J14" s="7" t="s">
        <v>1461</v>
      </c>
      <c r="K14" s="7" t="s">
        <v>1568</v>
      </c>
      <c r="L14" s="11" t="str">
        <f>HYPERLINK("http://slimages.macys.com/is/image/MCY/8433239 ")</f>
        <v xml:space="preserve">http://slimages.macys.com/is/image/MCY/8433239 </v>
      </c>
    </row>
    <row r="15" spans="1:12" ht="39.950000000000003" customHeight="1" x14ac:dyDescent="0.25">
      <c r="A15" s="6" t="s">
        <v>1084</v>
      </c>
      <c r="B15" s="7" t="s">
        <v>1085</v>
      </c>
      <c r="C15" s="8">
        <v>1</v>
      </c>
      <c r="D15" s="9">
        <v>49.99</v>
      </c>
      <c r="E15" s="8">
        <v>4403</v>
      </c>
      <c r="F15" s="7" t="s">
        <v>1458</v>
      </c>
      <c r="G15" s="10" t="s">
        <v>1466</v>
      </c>
      <c r="H15" s="7" t="s">
        <v>1562</v>
      </c>
      <c r="I15" s="7" t="s">
        <v>1842</v>
      </c>
      <c r="J15" s="7" t="s">
        <v>1461</v>
      </c>
      <c r="K15" s="7" t="s">
        <v>1086</v>
      </c>
      <c r="L15" s="11" t="str">
        <f>HYPERLINK("http://slimages.macys.com/is/image/MCY/9873929 ")</f>
        <v xml:space="preserve">http://slimages.macys.com/is/image/MCY/9873929 </v>
      </c>
    </row>
    <row r="16" spans="1:12" ht="39.950000000000003" customHeight="1" x14ac:dyDescent="0.25">
      <c r="A16" s="6" t="s">
        <v>1087</v>
      </c>
      <c r="B16" s="7" t="s">
        <v>1088</v>
      </c>
      <c r="C16" s="8">
        <v>1</v>
      </c>
      <c r="D16" s="9">
        <v>99.99</v>
      </c>
      <c r="E16" s="8" t="s">
        <v>1089</v>
      </c>
      <c r="F16" s="7" t="s">
        <v>1613</v>
      </c>
      <c r="G16" s="10"/>
      <c r="H16" s="7" t="s">
        <v>1496</v>
      </c>
      <c r="I16" s="7" t="s">
        <v>1526</v>
      </c>
      <c r="J16" s="7" t="s">
        <v>1461</v>
      </c>
      <c r="K16" s="7" t="s">
        <v>1618</v>
      </c>
      <c r="L16" s="11" t="str">
        <f>HYPERLINK("http://slimages.macys.com/is/image/MCY/8433239 ")</f>
        <v xml:space="preserve">http://slimages.macys.com/is/image/MCY/8433239 </v>
      </c>
    </row>
    <row r="17" spans="1:12" ht="39.950000000000003" customHeight="1" x14ac:dyDescent="0.25">
      <c r="A17" s="6" t="s">
        <v>1090</v>
      </c>
      <c r="B17" s="7" t="s">
        <v>1091</v>
      </c>
      <c r="C17" s="8">
        <v>1</v>
      </c>
      <c r="D17" s="9">
        <v>99.99</v>
      </c>
      <c r="E17" s="8" t="s">
        <v>1092</v>
      </c>
      <c r="F17" s="7" t="s">
        <v>1458</v>
      </c>
      <c r="G17" s="10"/>
      <c r="H17" s="7" t="s">
        <v>1496</v>
      </c>
      <c r="I17" s="7" t="s">
        <v>1526</v>
      </c>
      <c r="J17" s="7" t="s">
        <v>1461</v>
      </c>
      <c r="K17" s="7" t="s">
        <v>1618</v>
      </c>
      <c r="L17" s="11" t="str">
        <f>HYPERLINK("http://slimages.macys.com/is/image/MCY/8433239 ")</f>
        <v xml:space="preserve">http://slimages.macys.com/is/image/MCY/8433239 </v>
      </c>
    </row>
    <row r="18" spans="1:12" ht="39.950000000000003" customHeight="1" x14ac:dyDescent="0.25">
      <c r="A18" s="6" t="s">
        <v>1093</v>
      </c>
      <c r="B18" s="7" t="s">
        <v>1094</v>
      </c>
      <c r="C18" s="8">
        <v>1</v>
      </c>
      <c r="D18" s="9">
        <v>129.99</v>
      </c>
      <c r="E18" s="8" t="s">
        <v>1095</v>
      </c>
      <c r="F18" s="7" t="s">
        <v>1458</v>
      </c>
      <c r="G18" s="10"/>
      <c r="H18" s="7" t="s">
        <v>1550</v>
      </c>
      <c r="I18" s="7" t="s">
        <v>1617</v>
      </c>
      <c r="J18" s="7" t="s">
        <v>1461</v>
      </c>
      <c r="K18" s="7" t="s">
        <v>1618</v>
      </c>
      <c r="L18" s="11" t="str">
        <f>HYPERLINK("http://slimages.macys.com/is/image/MCY/8905437 ")</f>
        <v xml:space="preserve">http://slimages.macys.com/is/image/MCY/8905437 </v>
      </c>
    </row>
    <row r="19" spans="1:12" ht="39.950000000000003" customHeight="1" x14ac:dyDescent="0.25">
      <c r="A19" s="6" t="s">
        <v>1096</v>
      </c>
      <c r="B19" s="7" t="s">
        <v>1097</v>
      </c>
      <c r="C19" s="8">
        <v>1</v>
      </c>
      <c r="D19" s="9">
        <v>99.99</v>
      </c>
      <c r="E19" s="8" t="s">
        <v>1098</v>
      </c>
      <c r="F19" s="7" t="s">
        <v>1627</v>
      </c>
      <c r="G19" s="10"/>
      <c r="H19" s="7" t="s">
        <v>1496</v>
      </c>
      <c r="I19" s="7" t="s">
        <v>1526</v>
      </c>
      <c r="J19" s="7" t="s">
        <v>1461</v>
      </c>
      <c r="K19" s="7" t="s">
        <v>1913</v>
      </c>
      <c r="L19" s="11" t="str">
        <f>HYPERLINK("http://slimages.macys.com/is/image/MCY/15389610 ")</f>
        <v xml:space="preserve">http://slimages.macys.com/is/image/MCY/15389610 </v>
      </c>
    </row>
    <row r="20" spans="1:12" ht="39.950000000000003" customHeight="1" x14ac:dyDescent="0.25">
      <c r="A20" s="6" t="s">
        <v>1099</v>
      </c>
      <c r="B20" s="7" t="s">
        <v>1100</v>
      </c>
      <c r="C20" s="8">
        <v>1</v>
      </c>
      <c r="D20" s="9">
        <v>49.99</v>
      </c>
      <c r="E20" s="8" t="s">
        <v>1101</v>
      </c>
      <c r="F20" s="7" t="s">
        <v>1458</v>
      </c>
      <c r="G20" s="10"/>
      <c r="H20" s="7" t="s">
        <v>1555</v>
      </c>
      <c r="I20" s="7" t="s">
        <v>1830</v>
      </c>
      <c r="J20" s="7"/>
      <c r="K20" s="7"/>
      <c r="L20" s="11" t="str">
        <f>HYPERLINK("http://slimages.macys.com/is/image/MCY/16524426 ")</f>
        <v xml:space="preserve">http://slimages.macys.com/is/image/MCY/16524426 </v>
      </c>
    </row>
    <row r="21" spans="1:12" ht="39.950000000000003" customHeight="1" x14ac:dyDescent="0.25">
      <c r="A21" s="6" t="s">
        <v>1102</v>
      </c>
      <c r="B21" s="7" t="s">
        <v>1103</v>
      </c>
      <c r="C21" s="8">
        <v>1</v>
      </c>
      <c r="D21" s="9">
        <v>79.989999999999995</v>
      </c>
      <c r="E21" s="8">
        <v>10006939000</v>
      </c>
      <c r="F21" s="7" t="s">
        <v>1458</v>
      </c>
      <c r="G21" s="10"/>
      <c r="H21" s="7" t="s">
        <v>1550</v>
      </c>
      <c r="I21" s="7" t="s">
        <v>1551</v>
      </c>
      <c r="J21" s="7" t="s">
        <v>1461</v>
      </c>
      <c r="K21" s="7"/>
      <c r="L21" s="11" t="str">
        <f>HYPERLINK("http://slimages.macys.com/is/image/MCY/14725487 ")</f>
        <v xml:space="preserve">http://slimages.macys.com/is/image/MCY/14725487 </v>
      </c>
    </row>
    <row r="22" spans="1:12" ht="39.950000000000003" customHeight="1" x14ac:dyDescent="0.25">
      <c r="A22" s="6" t="s">
        <v>1104</v>
      </c>
      <c r="B22" s="7" t="s">
        <v>1105</v>
      </c>
      <c r="C22" s="8">
        <v>1</v>
      </c>
      <c r="D22" s="9">
        <v>49.99</v>
      </c>
      <c r="E22" s="8" t="s">
        <v>1106</v>
      </c>
      <c r="F22" s="7" t="s">
        <v>1597</v>
      </c>
      <c r="G22" s="10"/>
      <c r="H22" s="7" t="s">
        <v>1664</v>
      </c>
      <c r="I22" s="7" t="s">
        <v>1556</v>
      </c>
      <c r="J22" s="7" t="s">
        <v>1461</v>
      </c>
      <c r="K22" s="7" t="s">
        <v>1564</v>
      </c>
      <c r="L22" s="11" t="str">
        <f>HYPERLINK("http://slimages.macys.com/is/image/MCY/8347198 ")</f>
        <v xml:space="preserve">http://slimages.macys.com/is/image/MCY/8347198 </v>
      </c>
    </row>
    <row r="23" spans="1:12" ht="39.950000000000003" customHeight="1" x14ac:dyDescent="0.25">
      <c r="A23" s="6" t="s">
        <v>1107</v>
      </c>
      <c r="B23" s="7" t="s">
        <v>1108</v>
      </c>
      <c r="C23" s="8">
        <v>1</v>
      </c>
      <c r="D23" s="9">
        <v>39.99</v>
      </c>
      <c r="E23" s="8" t="s">
        <v>1109</v>
      </c>
      <c r="F23" s="7" t="s">
        <v>1110</v>
      </c>
      <c r="G23" s="10"/>
      <c r="H23" s="7" t="s">
        <v>1555</v>
      </c>
      <c r="I23" s="7" t="s">
        <v>1830</v>
      </c>
      <c r="J23" s="7"/>
      <c r="K23" s="7"/>
      <c r="L23" s="11" t="str">
        <f>HYPERLINK("http://slimages.macys.com/is/image/MCY/17822511 ")</f>
        <v xml:space="preserve">http://slimages.macys.com/is/image/MCY/17822511 </v>
      </c>
    </row>
    <row r="24" spans="1:12" ht="39.950000000000003" customHeight="1" x14ac:dyDescent="0.25">
      <c r="A24" s="6" t="s">
        <v>1569</v>
      </c>
      <c r="B24" s="7" t="s">
        <v>1570</v>
      </c>
      <c r="C24" s="8">
        <v>1</v>
      </c>
      <c r="D24" s="9">
        <v>59.99</v>
      </c>
      <c r="E24" s="8">
        <v>10004897500</v>
      </c>
      <c r="F24" s="7" t="s">
        <v>1560</v>
      </c>
      <c r="G24" s="10"/>
      <c r="H24" s="7" t="s">
        <v>1550</v>
      </c>
      <c r="I24" s="7" t="s">
        <v>1551</v>
      </c>
      <c r="J24" s="7" t="s">
        <v>1461</v>
      </c>
      <c r="K24" s="7"/>
      <c r="L24" s="11" t="str">
        <f>HYPERLINK("http://slimages.macys.com/is/image/MCY/14823286 ")</f>
        <v xml:space="preserve">http://slimages.macys.com/is/image/MCY/14823286 </v>
      </c>
    </row>
    <row r="25" spans="1:12" ht="39.950000000000003" customHeight="1" x14ac:dyDescent="0.25">
      <c r="A25" s="6" t="s">
        <v>1111</v>
      </c>
      <c r="B25" s="7" t="s">
        <v>1112</v>
      </c>
      <c r="C25" s="8">
        <v>2</v>
      </c>
      <c r="D25" s="9">
        <v>159.97999999999999</v>
      </c>
      <c r="E25" s="8" t="s">
        <v>1113</v>
      </c>
      <c r="F25" s="7" t="s">
        <v>1458</v>
      </c>
      <c r="G25" s="10"/>
      <c r="H25" s="7" t="s">
        <v>1851</v>
      </c>
      <c r="I25" s="7" t="s">
        <v>1489</v>
      </c>
      <c r="J25" s="7" t="s">
        <v>997</v>
      </c>
      <c r="K25" s="7"/>
      <c r="L25" s="11" t="str">
        <f>HYPERLINK("http://slimages.macys.com/is/image/MCY/12779303 ")</f>
        <v xml:space="preserve">http://slimages.macys.com/is/image/MCY/12779303 </v>
      </c>
    </row>
    <row r="26" spans="1:12" ht="39.950000000000003" customHeight="1" x14ac:dyDescent="0.25">
      <c r="A26" s="6" t="s">
        <v>1114</v>
      </c>
      <c r="B26" s="7" t="s">
        <v>1115</v>
      </c>
      <c r="C26" s="8">
        <v>1</v>
      </c>
      <c r="D26" s="9">
        <v>39.99</v>
      </c>
      <c r="E26" s="8">
        <v>130103</v>
      </c>
      <c r="F26" s="7" t="s">
        <v>1637</v>
      </c>
      <c r="G26" s="10"/>
      <c r="H26" s="7" t="s">
        <v>1562</v>
      </c>
      <c r="I26" s="7" t="s">
        <v>1842</v>
      </c>
      <c r="J26" s="7" t="s">
        <v>1461</v>
      </c>
      <c r="K26" s="7" t="s">
        <v>1843</v>
      </c>
      <c r="L26" s="11" t="str">
        <f>HYPERLINK("http://slimages.macys.com/is/image/MCY/3895749 ")</f>
        <v xml:space="preserve">http://slimages.macys.com/is/image/MCY/3895749 </v>
      </c>
    </row>
    <row r="27" spans="1:12" ht="39.950000000000003" customHeight="1" x14ac:dyDescent="0.25">
      <c r="A27" s="6" t="s">
        <v>1116</v>
      </c>
      <c r="B27" s="7" t="s">
        <v>1117</v>
      </c>
      <c r="C27" s="8">
        <v>1</v>
      </c>
      <c r="D27" s="9">
        <v>24.99</v>
      </c>
      <c r="E27" s="8" t="s">
        <v>1118</v>
      </c>
      <c r="F27" s="7" t="s">
        <v>1560</v>
      </c>
      <c r="G27" s="10"/>
      <c r="H27" s="7" t="s">
        <v>1506</v>
      </c>
      <c r="I27" s="7" t="s">
        <v>1966</v>
      </c>
      <c r="J27" s="7" t="s">
        <v>1461</v>
      </c>
      <c r="K27" s="7"/>
      <c r="L27" s="11" t="str">
        <f>HYPERLINK("http://slimages.macys.com/is/image/MCY/16339128 ")</f>
        <v xml:space="preserve">http://slimages.macys.com/is/image/MCY/16339128 </v>
      </c>
    </row>
    <row r="28" spans="1:12" ht="39.950000000000003" customHeight="1" x14ac:dyDescent="0.25">
      <c r="A28" s="6" t="s">
        <v>1119</v>
      </c>
      <c r="B28" s="7" t="s">
        <v>1120</v>
      </c>
      <c r="C28" s="8">
        <v>1</v>
      </c>
      <c r="D28" s="9">
        <v>29.99</v>
      </c>
      <c r="E28" s="8" t="s">
        <v>1121</v>
      </c>
      <c r="F28" s="7" t="s">
        <v>1711</v>
      </c>
      <c r="G28" s="10"/>
      <c r="H28" s="7" t="s">
        <v>1555</v>
      </c>
      <c r="I28" s="7" t="s">
        <v>1857</v>
      </c>
      <c r="J28" s="7"/>
      <c r="K28" s="7"/>
      <c r="L28" s="11" t="str">
        <f>HYPERLINK("http://slimages.macys.com/is/image/MCY/17923602 ")</f>
        <v xml:space="preserve">http://slimages.macys.com/is/image/MCY/17923602 </v>
      </c>
    </row>
    <row r="29" spans="1:12" ht="39.950000000000003" customHeight="1" x14ac:dyDescent="0.25">
      <c r="A29" s="6" t="s">
        <v>1122</v>
      </c>
      <c r="B29" s="7" t="s">
        <v>1123</v>
      </c>
      <c r="C29" s="8">
        <v>2</v>
      </c>
      <c r="D29" s="9">
        <v>39.979999999999997</v>
      </c>
      <c r="E29" s="8" t="s">
        <v>1124</v>
      </c>
      <c r="F29" s="7" t="s">
        <v>1877</v>
      </c>
      <c r="G29" s="10"/>
      <c r="H29" s="7" t="s">
        <v>1605</v>
      </c>
      <c r="I29" s="7" t="s">
        <v>2225</v>
      </c>
      <c r="J29" s="7"/>
      <c r="K29" s="7"/>
      <c r="L29" s="11" t="str">
        <f>HYPERLINK("http://slimages.macys.com/is/image/MCY/18672918 ")</f>
        <v xml:space="preserve">http://slimages.macys.com/is/image/MCY/18672918 </v>
      </c>
    </row>
    <row r="30" spans="1:12" ht="39.950000000000003" customHeight="1" x14ac:dyDescent="0.25">
      <c r="A30" s="6" t="s">
        <v>1125</v>
      </c>
      <c r="B30" s="7" t="s">
        <v>1126</v>
      </c>
      <c r="C30" s="8">
        <v>1</v>
      </c>
      <c r="D30" s="9">
        <v>24.99</v>
      </c>
      <c r="E30" s="8">
        <v>31101</v>
      </c>
      <c r="F30" s="7" t="s">
        <v>688</v>
      </c>
      <c r="G30" s="10"/>
      <c r="H30" s="7" t="s">
        <v>1692</v>
      </c>
      <c r="I30" s="7" t="s">
        <v>1969</v>
      </c>
      <c r="J30" s="7" t="s">
        <v>1490</v>
      </c>
      <c r="K30" s="7" t="s">
        <v>1127</v>
      </c>
      <c r="L30" s="11" t="str">
        <f>HYPERLINK("http://slimages.macys.com/is/image/MCY/16148734 ")</f>
        <v xml:space="preserve">http://slimages.macys.com/is/image/MCY/16148734 </v>
      </c>
    </row>
    <row r="31" spans="1:12" ht="39.950000000000003" customHeight="1" x14ac:dyDescent="0.25">
      <c r="A31" s="6" t="s">
        <v>1128</v>
      </c>
      <c r="B31" s="7" t="s">
        <v>1129</v>
      </c>
      <c r="C31" s="8">
        <v>1</v>
      </c>
      <c r="D31" s="9">
        <v>39.99</v>
      </c>
      <c r="E31" s="8" t="s">
        <v>1130</v>
      </c>
      <c r="F31" s="7" t="s">
        <v>1458</v>
      </c>
      <c r="G31" s="10"/>
      <c r="H31" s="7" t="s">
        <v>1496</v>
      </c>
      <c r="I31" s="7" t="s">
        <v>1526</v>
      </c>
      <c r="J31" s="7" t="s">
        <v>1461</v>
      </c>
      <c r="K31" s="7" t="s">
        <v>1527</v>
      </c>
      <c r="L31" s="11" t="str">
        <f>HYPERLINK("http://slimages.macys.com/is/image/MCY/8460170 ")</f>
        <v xml:space="preserve">http://slimages.macys.com/is/image/MCY/8460170 </v>
      </c>
    </row>
    <row r="32" spans="1:12" ht="39.950000000000003" customHeight="1" x14ac:dyDescent="0.25">
      <c r="A32" s="6" t="s">
        <v>1131</v>
      </c>
      <c r="B32" s="7" t="s">
        <v>1132</v>
      </c>
      <c r="C32" s="8">
        <v>6</v>
      </c>
      <c r="D32" s="9">
        <v>83.94</v>
      </c>
      <c r="E32" s="8" t="s">
        <v>1133</v>
      </c>
      <c r="F32" s="7" t="s">
        <v>1560</v>
      </c>
      <c r="G32" s="10"/>
      <c r="H32" s="7" t="s">
        <v>1506</v>
      </c>
      <c r="I32" s="7" t="s">
        <v>2011</v>
      </c>
      <c r="J32" s="7" t="s">
        <v>1461</v>
      </c>
      <c r="K32" s="7"/>
      <c r="L32" s="11" t="str">
        <f>HYPERLINK("http://slimages.macys.com/is/image/MCY/8757225 ")</f>
        <v xml:space="preserve">http://slimages.macys.com/is/image/MCY/8757225 </v>
      </c>
    </row>
    <row r="33" spans="1:12" ht="39.950000000000003" customHeight="1" x14ac:dyDescent="0.25">
      <c r="A33" s="6" t="s">
        <v>1134</v>
      </c>
      <c r="B33" s="7" t="s">
        <v>1135</v>
      </c>
      <c r="C33" s="8">
        <v>1</v>
      </c>
      <c r="D33" s="9">
        <v>39.99</v>
      </c>
      <c r="E33" s="8" t="s">
        <v>1136</v>
      </c>
      <c r="F33" s="7" t="s">
        <v>1458</v>
      </c>
      <c r="G33" s="10"/>
      <c r="H33" s="7" t="s">
        <v>1496</v>
      </c>
      <c r="I33" s="7" t="s">
        <v>1526</v>
      </c>
      <c r="J33" s="7" t="s">
        <v>1461</v>
      </c>
      <c r="K33" s="7" t="s">
        <v>1568</v>
      </c>
      <c r="L33" s="11" t="str">
        <f>HYPERLINK("http://slimages.macys.com/is/image/MCY/11607139 ")</f>
        <v xml:space="preserve">http://slimages.macys.com/is/image/MCY/11607139 </v>
      </c>
    </row>
    <row r="34" spans="1:12" ht="39.950000000000003" customHeight="1" x14ac:dyDescent="0.25">
      <c r="A34" s="6" t="s">
        <v>1137</v>
      </c>
      <c r="B34" s="7" t="s">
        <v>1138</v>
      </c>
      <c r="C34" s="8">
        <v>1</v>
      </c>
      <c r="D34" s="9">
        <v>39.99</v>
      </c>
      <c r="E34" s="8" t="s">
        <v>1139</v>
      </c>
      <c r="F34" s="7" t="s">
        <v>1458</v>
      </c>
      <c r="G34" s="10"/>
      <c r="H34" s="7" t="s">
        <v>1496</v>
      </c>
      <c r="I34" s="7" t="s">
        <v>1526</v>
      </c>
      <c r="J34" s="7" t="s">
        <v>1461</v>
      </c>
      <c r="K34" s="7"/>
      <c r="L34" s="11" t="str">
        <f>HYPERLINK("http://slimages.macys.com/is/image/MCY/8433239 ")</f>
        <v xml:space="preserve">http://slimages.macys.com/is/image/MCY/8433239 </v>
      </c>
    </row>
    <row r="35" spans="1:12" ht="39.950000000000003" customHeight="1" x14ac:dyDescent="0.25">
      <c r="A35" s="6" t="s">
        <v>1140</v>
      </c>
      <c r="B35" s="7" t="s">
        <v>1141</v>
      </c>
      <c r="C35" s="8">
        <v>1</v>
      </c>
      <c r="D35" s="9">
        <v>24.99</v>
      </c>
      <c r="E35" s="8" t="s">
        <v>1142</v>
      </c>
      <c r="F35" s="7" t="s">
        <v>1544</v>
      </c>
      <c r="G35" s="10" t="s">
        <v>1644</v>
      </c>
      <c r="H35" s="7" t="s">
        <v>1578</v>
      </c>
      <c r="I35" s="7" t="s">
        <v>1579</v>
      </c>
      <c r="J35" s="7" t="s">
        <v>1461</v>
      </c>
      <c r="K35" s="7" t="s">
        <v>1973</v>
      </c>
      <c r="L35" s="11" t="str">
        <f>HYPERLINK("http://slimages.macys.com/is/image/MCY/14322102 ")</f>
        <v xml:space="preserve">http://slimages.macys.com/is/image/MCY/14322102 </v>
      </c>
    </row>
    <row r="36" spans="1:12" ht="39.950000000000003" customHeight="1" x14ac:dyDescent="0.25">
      <c r="A36" s="6" t="s">
        <v>1143</v>
      </c>
      <c r="B36" s="7" t="s">
        <v>1144</v>
      </c>
      <c r="C36" s="8">
        <v>1</v>
      </c>
      <c r="D36" s="9">
        <v>12.99</v>
      </c>
      <c r="E36" s="8" t="s">
        <v>1145</v>
      </c>
      <c r="F36" s="7" t="s">
        <v>1458</v>
      </c>
      <c r="G36" s="10" t="s">
        <v>1644</v>
      </c>
      <c r="H36" s="7" t="s">
        <v>1578</v>
      </c>
      <c r="I36" s="7" t="s">
        <v>1579</v>
      </c>
      <c r="J36" s="7" t="s">
        <v>1461</v>
      </c>
      <c r="K36" s="7" t="s">
        <v>1623</v>
      </c>
      <c r="L36" s="11" t="str">
        <f>HYPERLINK("http://slimages.macys.com/is/image/MCY/12737814 ")</f>
        <v xml:space="preserve">http://slimages.macys.com/is/image/MCY/12737814 </v>
      </c>
    </row>
    <row r="37" spans="1:12" ht="39.950000000000003" customHeight="1" x14ac:dyDescent="0.25">
      <c r="A37" s="6" t="s">
        <v>2179</v>
      </c>
      <c r="B37" s="7" t="s">
        <v>2180</v>
      </c>
      <c r="C37" s="8">
        <v>1</v>
      </c>
      <c r="D37" s="9">
        <v>3.99</v>
      </c>
      <c r="E37" s="8" t="s">
        <v>2181</v>
      </c>
      <c r="F37" s="7" t="s">
        <v>1458</v>
      </c>
      <c r="G37" s="10" t="s">
        <v>1577</v>
      </c>
      <c r="H37" s="7" t="s">
        <v>1628</v>
      </c>
      <c r="I37" s="7" t="s">
        <v>1556</v>
      </c>
      <c r="J37" s="7" t="s">
        <v>1461</v>
      </c>
      <c r="K37" s="7"/>
      <c r="L37" s="11" t="str">
        <f>HYPERLINK("http://slimages.macys.com/is/image/MCY/13909845 ")</f>
        <v xml:space="preserve">http://slimages.macys.com/is/image/MCY/13909845 </v>
      </c>
    </row>
    <row r="38" spans="1:12" ht="39.950000000000003" customHeight="1" x14ac:dyDescent="0.25">
      <c r="A38" s="6" t="s">
        <v>1649</v>
      </c>
      <c r="B38" s="7" t="s">
        <v>1650</v>
      </c>
      <c r="C38" s="8">
        <v>13</v>
      </c>
      <c r="D38" s="9">
        <v>520</v>
      </c>
      <c r="E38" s="8"/>
      <c r="F38" s="7" t="s">
        <v>1651</v>
      </c>
      <c r="G38" s="10" t="s">
        <v>1561</v>
      </c>
      <c r="H38" s="7" t="s">
        <v>1652</v>
      </c>
      <c r="I38" s="7" t="s">
        <v>1653</v>
      </c>
      <c r="J38" s="7"/>
      <c r="K38" s="7"/>
      <c r="L38" s="11"/>
    </row>
    <row r="39" spans="1:12" ht="39.950000000000003" customHeight="1" x14ac:dyDescent="0.25">
      <c r="A39" s="6"/>
      <c r="B39" s="7"/>
      <c r="C39" s="8"/>
      <c r="D39" s="9"/>
      <c r="E39" s="8"/>
      <c r="F39" s="7"/>
      <c r="G39" s="10"/>
      <c r="H39" s="7"/>
      <c r="I39" s="7"/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1146</v>
      </c>
      <c r="B2" s="7" t="s">
        <v>1147</v>
      </c>
      <c r="C2" s="8">
        <v>1</v>
      </c>
      <c r="D2" s="9">
        <v>299.99</v>
      </c>
      <c r="E2" s="8" t="s">
        <v>1148</v>
      </c>
      <c r="F2" s="7" t="s">
        <v>1458</v>
      </c>
      <c r="G2" s="10"/>
      <c r="H2" s="7" t="s">
        <v>1764</v>
      </c>
      <c r="I2" s="7" t="s">
        <v>1884</v>
      </c>
      <c r="J2" s="7" t="s">
        <v>1461</v>
      </c>
      <c r="K2" s="7" t="s">
        <v>2213</v>
      </c>
      <c r="L2" s="11" t="str">
        <f>HYPERLINK("http://slimages.macys.com/is/image/MCY/2567151 ")</f>
        <v xml:space="preserve">http://slimages.macys.com/is/image/MCY/2567151 </v>
      </c>
    </row>
    <row r="3" spans="1:12" ht="39.950000000000003" customHeight="1" x14ac:dyDescent="0.25">
      <c r="A3" s="6" t="s">
        <v>1149</v>
      </c>
      <c r="B3" s="7" t="s">
        <v>1150</v>
      </c>
      <c r="C3" s="8">
        <v>1</v>
      </c>
      <c r="D3" s="9">
        <v>169.99</v>
      </c>
      <c r="E3" s="8" t="s">
        <v>1151</v>
      </c>
      <c r="F3" s="7" t="s">
        <v>1560</v>
      </c>
      <c r="G3" s="10"/>
      <c r="H3" s="7" t="s">
        <v>1664</v>
      </c>
      <c r="I3" s="7" t="s">
        <v>1521</v>
      </c>
      <c r="J3" s="7" t="s">
        <v>1461</v>
      </c>
      <c r="K3" s="7" t="s">
        <v>743</v>
      </c>
      <c r="L3" s="11" t="str">
        <f>HYPERLINK("http://slimages.macys.com/is/image/MCY/9627753 ")</f>
        <v xml:space="preserve">http://slimages.macys.com/is/image/MCY/9627753 </v>
      </c>
    </row>
    <row r="4" spans="1:12" ht="39.950000000000003" customHeight="1" x14ac:dyDescent="0.25">
      <c r="A4" s="6" t="s">
        <v>1152</v>
      </c>
      <c r="B4" s="7" t="s">
        <v>1153</v>
      </c>
      <c r="C4" s="8">
        <v>1</v>
      </c>
      <c r="D4" s="9">
        <v>139.99</v>
      </c>
      <c r="E4" s="8" t="s">
        <v>1154</v>
      </c>
      <c r="F4" s="7" t="s">
        <v>1560</v>
      </c>
      <c r="G4" s="10"/>
      <c r="H4" s="7" t="s">
        <v>1664</v>
      </c>
      <c r="I4" s="7" t="s">
        <v>1521</v>
      </c>
      <c r="J4" s="7" t="s">
        <v>1461</v>
      </c>
      <c r="K4" s="7" t="s">
        <v>1155</v>
      </c>
      <c r="L4" s="11" t="str">
        <f>HYPERLINK("http://slimages.macys.com/is/image/MCY/9627829 ")</f>
        <v xml:space="preserve">http://slimages.macys.com/is/image/MCY/9627829 </v>
      </c>
    </row>
    <row r="5" spans="1:12" ht="39.950000000000003" customHeight="1" x14ac:dyDescent="0.25">
      <c r="A5" s="6" t="s">
        <v>1156</v>
      </c>
      <c r="B5" s="7" t="s">
        <v>1157</v>
      </c>
      <c r="C5" s="8">
        <v>1</v>
      </c>
      <c r="D5" s="9">
        <v>128.99</v>
      </c>
      <c r="E5" s="8" t="s">
        <v>1158</v>
      </c>
      <c r="F5" s="7" t="s">
        <v>1868</v>
      </c>
      <c r="G5" s="10" t="s">
        <v>1466</v>
      </c>
      <c r="H5" s="7" t="s">
        <v>1664</v>
      </c>
      <c r="I5" s="7" t="s">
        <v>2321</v>
      </c>
      <c r="J5" s="7" t="s">
        <v>1461</v>
      </c>
      <c r="K5" s="7" t="s">
        <v>1564</v>
      </c>
      <c r="L5" s="11" t="str">
        <f>HYPERLINK("http://slimages.macys.com/is/image/MCY/12230086 ")</f>
        <v xml:space="preserve">http://slimages.macys.com/is/image/MCY/12230086 </v>
      </c>
    </row>
    <row r="6" spans="1:12" ht="39.950000000000003" customHeight="1" x14ac:dyDescent="0.25">
      <c r="A6" s="6" t="s">
        <v>1159</v>
      </c>
      <c r="B6" s="7" t="s">
        <v>1160</v>
      </c>
      <c r="C6" s="8">
        <v>1</v>
      </c>
      <c r="D6" s="9">
        <v>151.99</v>
      </c>
      <c r="E6" s="8">
        <v>77330</v>
      </c>
      <c r="F6" s="7" t="s">
        <v>2044</v>
      </c>
      <c r="G6" s="10"/>
      <c r="H6" s="7" t="s">
        <v>1664</v>
      </c>
      <c r="I6" s="7" t="s">
        <v>738</v>
      </c>
      <c r="J6" s="7" t="s">
        <v>1461</v>
      </c>
      <c r="K6" s="7" t="s">
        <v>1161</v>
      </c>
      <c r="L6" s="11" t="str">
        <f>HYPERLINK("http://slimages.macys.com/is/image/MCY/12235440 ")</f>
        <v xml:space="preserve">http://slimages.macys.com/is/image/MCY/12235440 </v>
      </c>
    </row>
    <row r="7" spans="1:12" ht="39.950000000000003" customHeight="1" x14ac:dyDescent="0.25">
      <c r="A7" s="6" t="s">
        <v>1162</v>
      </c>
      <c r="B7" s="7" t="s">
        <v>1163</v>
      </c>
      <c r="C7" s="8">
        <v>1</v>
      </c>
      <c r="D7" s="9">
        <v>109.99</v>
      </c>
      <c r="E7" s="8" t="s">
        <v>1164</v>
      </c>
      <c r="F7" s="7"/>
      <c r="G7" s="10"/>
      <c r="H7" s="7" t="s">
        <v>1664</v>
      </c>
      <c r="I7" s="7" t="s">
        <v>1588</v>
      </c>
      <c r="J7" s="7" t="s">
        <v>1461</v>
      </c>
      <c r="K7" s="7"/>
      <c r="L7" s="11" t="str">
        <f>HYPERLINK("http://slimages.macys.com/is/image/MCY/8917343 ")</f>
        <v xml:space="preserve">http://slimages.macys.com/is/image/MCY/8917343 </v>
      </c>
    </row>
    <row r="8" spans="1:12" ht="39.950000000000003" customHeight="1" x14ac:dyDescent="0.25">
      <c r="A8" s="6" t="s">
        <v>2197</v>
      </c>
      <c r="B8" s="7" t="s">
        <v>2198</v>
      </c>
      <c r="C8" s="8">
        <v>1</v>
      </c>
      <c r="D8" s="9">
        <v>77.989999999999995</v>
      </c>
      <c r="E8" s="8" t="s">
        <v>2199</v>
      </c>
      <c r="F8" s="7" t="s">
        <v>1495</v>
      </c>
      <c r="G8" s="10"/>
      <c r="H8" s="7" t="s">
        <v>1506</v>
      </c>
      <c r="I8" s="7" t="s">
        <v>1521</v>
      </c>
      <c r="J8" s="7" t="s">
        <v>1461</v>
      </c>
      <c r="K8" s="7" t="s">
        <v>2200</v>
      </c>
      <c r="L8" s="11" t="str">
        <f>HYPERLINK("http://slimages.macys.com/is/image/MCY/12291966 ")</f>
        <v xml:space="preserve">http://slimages.macys.com/is/image/MCY/12291966 </v>
      </c>
    </row>
    <row r="9" spans="1:12" ht="39.950000000000003" customHeight="1" x14ac:dyDescent="0.25">
      <c r="A9" s="6" t="s">
        <v>1165</v>
      </c>
      <c r="B9" s="7" t="s">
        <v>1166</v>
      </c>
      <c r="C9" s="8">
        <v>1</v>
      </c>
      <c r="D9" s="9">
        <v>159.99</v>
      </c>
      <c r="E9" s="8" t="s">
        <v>1167</v>
      </c>
      <c r="F9" s="7" t="s">
        <v>1560</v>
      </c>
      <c r="G9" s="10" t="s">
        <v>1846</v>
      </c>
      <c r="H9" s="7" t="s">
        <v>1550</v>
      </c>
      <c r="I9" s="7" t="s">
        <v>1497</v>
      </c>
      <c r="J9" s="7" t="s">
        <v>1461</v>
      </c>
      <c r="K9" s="7" t="s">
        <v>1168</v>
      </c>
      <c r="L9" s="11" t="str">
        <f>HYPERLINK("http://slimages.macys.com/is/image/MCY/10264821 ")</f>
        <v xml:space="preserve">http://slimages.macys.com/is/image/MCY/10264821 </v>
      </c>
    </row>
    <row r="10" spans="1:12" ht="39.950000000000003" customHeight="1" x14ac:dyDescent="0.25">
      <c r="A10" s="6" t="s">
        <v>1169</v>
      </c>
      <c r="B10" s="7" t="s">
        <v>1170</v>
      </c>
      <c r="C10" s="8">
        <v>1</v>
      </c>
      <c r="D10" s="9">
        <v>84.99</v>
      </c>
      <c r="E10" s="8" t="s">
        <v>1171</v>
      </c>
      <c r="F10" s="7" t="s">
        <v>1560</v>
      </c>
      <c r="G10" s="10"/>
      <c r="H10" s="7" t="s">
        <v>1664</v>
      </c>
      <c r="I10" s="7" t="s">
        <v>1521</v>
      </c>
      <c r="J10" s="7" t="s">
        <v>1461</v>
      </c>
      <c r="K10" s="7" t="s">
        <v>1172</v>
      </c>
      <c r="L10" s="11" t="str">
        <f>HYPERLINK("http://slimages.macys.com/is/image/MCY/9484088 ")</f>
        <v xml:space="preserve">http://slimages.macys.com/is/image/MCY/9484088 </v>
      </c>
    </row>
    <row r="11" spans="1:12" ht="39.950000000000003" customHeight="1" x14ac:dyDescent="0.25">
      <c r="A11" s="6" t="s">
        <v>936</v>
      </c>
      <c r="B11" s="7" t="s">
        <v>937</v>
      </c>
      <c r="C11" s="8">
        <v>1</v>
      </c>
      <c r="D11" s="9">
        <v>99.99</v>
      </c>
      <c r="E11" s="8" t="s">
        <v>938</v>
      </c>
      <c r="F11" s="7" t="s">
        <v>2440</v>
      </c>
      <c r="G11" s="10"/>
      <c r="H11" s="7" t="s">
        <v>1664</v>
      </c>
      <c r="I11" s="7" t="s">
        <v>1588</v>
      </c>
      <c r="J11" s="7"/>
      <c r="K11" s="7"/>
      <c r="L11" s="11" t="str">
        <f>HYPERLINK("http://slimages.macys.com/is/image/MCY/17188273 ")</f>
        <v xml:space="preserve">http://slimages.macys.com/is/image/MCY/17188273 </v>
      </c>
    </row>
    <row r="12" spans="1:12" ht="39.950000000000003" customHeight="1" x14ac:dyDescent="0.25">
      <c r="A12" s="6" t="s">
        <v>761</v>
      </c>
      <c r="B12" s="7" t="s">
        <v>762</v>
      </c>
      <c r="C12" s="8">
        <v>1</v>
      </c>
      <c r="D12" s="9">
        <v>99.99</v>
      </c>
      <c r="E12" s="8" t="s">
        <v>763</v>
      </c>
      <c r="F12" s="7" t="s">
        <v>1597</v>
      </c>
      <c r="G12" s="10" t="s">
        <v>1846</v>
      </c>
      <c r="H12" s="7" t="s">
        <v>1550</v>
      </c>
      <c r="I12" s="7" t="s">
        <v>1617</v>
      </c>
      <c r="J12" s="7" t="s">
        <v>1600</v>
      </c>
      <c r="K12" s="7" t="s">
        <v>764</v>
      </c>
      <c r="L12" s="11" t="str">
        <f>HYPERLINK("http://slimages.macys.com/is/image/MCY/9935614 ")</f>
        <v xml:space="preserve">http://slimages.macys.com/is/image/MCY/9935614 </v>
      </c>
    </row>
    <row r="13" spans="1:12" ht="39.950000000000003" customHeight="1" x14ac:dyDescent="0.25">
      <c r="A13" s="6" t="s">
        <v>1173</v>
      </c>
      <c r="B13" s="7" t="s">
        <v>1174</v>
      </c>
      <c r="C13" s="8">
        <v>1</v>
      </c>
      <c r="D13" s="9">
        <v>157.99</v>
      </c>
      <c r="E13" s="8" t="s">
        <v>1175</v>
      </c>
      <c r="F13" s="7" t="s">
        <v>1632</v>
      </c>
      <c r="G13" s="10"/>
      <c r="H13" s="7" t="s">
        <v>1664</v>
      </c>
      <c r="I13" s="7" t="s">
        <v>1521</v>
      </c>
      <c r="J13" s="7" t="s">
        <v>1461</v>
      </c>
      <c r="K13" s="7" t="s">
        <v>1176</v>
      </c>
      <c r="L13" s="11" t="str">
        <f>HYPERLINK("http://slimages.macys.com/is/image/MCY/14430933 ")</f>
        <v xml:space="preserve">http://slimages.macys.com/is/image/MCY/14430933 </v>
      </c>
    </row>
    <row r="14" spans="1:12" ht="39.950000000000003" customHeight="1" x14ac:dyDescent="0.25">
      <c r="A14" s="6" t="s">
        <v>1177</v>
      </c>
      <c r="B14" s="7" t="s">
        <v>1178</v>
      </c>
      <c r="C14" s="8">
        <v>2</v>
      </c>
      <c r="D14" s="9">
        <v>133.97999999999999</v>
      </c>
      <c r="E14" s="8" t="s">
        <v>1179</v>
      </c>
      <c r="F14" s="7" t="s">
        <v>1587</v>
      </c>
      <c r="G14" s="10"/>
      <c r="H14" s="7" t="s">
        <v>1664</v>
      </c>
      <c r="I14" s="7" t="s">
        <v>1588</v>
      </c>
      <c r="J14" s="7" t="s">
        <v>1461</v>
      </c>
      <c r="K14" s="7" t="s">
        <v>1180</v>
      </c>
      <c r="L14" s="11" t="str">
        <f>HYPERLINK("http://slimages.macys.com/is/image/MCY/10005667 ")</f>
        <v xml:space="preserve">http://slimages.macys.com/is/image/MCY/10005667 </v>
      </c>
    </row>
    <row r="15" spans="1:12" ht="39.950000000000003" customHeight="1" x14ac:dyDescent="0.25">
      <c r="A15" s="6" t="s">
        <v>1713</v>
      </c>
      <c r="B15" s="7" t="s">
        <v>1714</v>
      </c>
      <c r="C15" s="8">
        <v>2</v>
      </c>
      <c r="D15" s="9">
        <v>105.98</v>
      </c>
      <c r="E15" s="8" t="s">
        <v>1715</v>
      </c>
      <c r="F15" s="7" t="s">
        <v>1587</v>
      </c>
      <c r="G15" s="10"/>
      <c r="H15" s="7" t="s">
        <v>1664</v>
      </c>
      <c r="I15" s="7" t="s">
        <v>1521</v>
      </c>
      <c r="J15" s="7" t="s">
        <v>1461</v>
      </c>
      <c r="K15" s="7" t="s">
        <v>1716</v>
      </c>
      <c r="L15" s="11" t="str">
        <f>HYPERLINK("http://slimages.macys.com/is/image/MCY/9767705 ")</f>
        <v xml:space="preserve">http://slimages.macys.com/is/image/MCY/9767705 </v>
      </c>
    </row>
    <row r="16" spans="1:12" ht="39.950000000000003" customHeight="1" x14ac:dyDescent="0.25">
      <c r="A16" s="6" t="s">
        <v>1181</v>
      </c>
      <c r="B16" s="7" t="s">
        <v>1182</v>
      </c>
      <c r="C16" s="8">
        <v>1</v>
      </c>
      <c r="D16" s="9">
        <v>99.99</v>
      </c>
      <c r="E16" s="8" t="s">
        <v>1183</v>
      </c>
      <c r="F16" s="7" t="s">
        <v>1632</v>
      </c>
      <c r="G16" s="10"/>
      <c r="H16" s="7" t="s">
        <v>1467</v>
      </c>
      <c r="I16" s="7" t="s">
        <v>516</v>
      </c>
      <c r="J16" s="7" t="s">
        <v>1461</v>
      </c>
      <c r="K16" s="7"/>
      <c r="L16" s="11" t="str">
        <f>HYPERLINK("http://slimages.macys.com/is/image/MCY/12072123 ")</f>
        <v xml:space="preserve">http://slimages.macys.com/is/image/MCY/12072123 </v>
      </c>
    </row>
    <row r="17" spans="1:12" ht="39.950000000000003" customHeight="1" x14ac:dyDescent="0.25">
      <c r="A17" s="6" t="s">
        <v>1184</v>
      </c>
      <c r="B17" s="7" t="s">
        <v>1185</v>
      </c>
      <c r="C17" s="8">
        <v>1</v>
      </c>
      <c r="D17" s="9">
        <v>42.99</v>
      </c>
      <c r="E17" s="8" t="s">
        <v>1186</v>
      </c>
      <c r="F17" s="7" t="s">
        <v>1560</v>
      </c>
      <c r="G17" s="10"/>
      <c r="H17" s="7" t="s">
        <v>1605</v>
      </c>
      <c r="I17" s="7" t="s">
        <v>1521</v>
      </c>
      <c r="J17" s="7" t="s">
        <v>1461</v>
      </c>
      <c r="K17" s="7"/>
      <c r="L17" s="11" t="str">
        <f>HYPERLINK("http://slimages.macys.com/is/image/MCY/9354607 ")</f>
        <v xml:space="preserve">http://slimages.macys.com/is/image/MCY/9354607 </v>
      </c>
    </row>
    <row r="18" spans="1:12" ht="39.950000000000003" customHeight="1" x14ac:dyDescent="0.25">
      <c r="A18" s="6" t="s">
        <v>1187</v>
      </c>
      <c r="B18" s="7" t="s">
        <v>1188</v>
      </c>
      <c r="C18" s="8">
        <v>2</v>
      </c>
      <c r="D18" s="9">
        <v>89.98</v>
      </c>
      <c r="E18" s="8" t="s">
        <v>1189</v>
      </c>
      <c r="F18" s="7" t="s">
        <v>688</v>
      </c>
      <c r="G18" s="10"/>
      <c r="H18" s="7" t="s">
        <v>1506</v>
      </c>
      <c r="I18" s="7" t="s">
        <v>1521</v>
      </c>
      <c r="J18" s="7" t="s">
        <v>1461</v>
      </c>
      <c r="K18" s="7"/>
      <c r="L18" s="11" t="str">
        <f>HYPERLINK("http://slimages.macys.com/is/image/MCY/9310362 ")</f>
        <v xml:space="preserve">http://slimages.macys.com/is/image/MCY/9310362 </v>
      </c>
    </row>
    <row r="19" spans="1:12" ht="39.950000000000003" customHeight="1" x14ac:dyDescent="0.25">
      <c r="A19" s="6" t="s">
        <v>1190</v>
      </c>
      <c r="B19" s="7" t="s">
        <v>1191</v>
      </c>
      <c r="C19" s="8">
        <v>4</v>
      </c>
      <c r="D19" s="9">
        <v>147.96</v>
      </c>
      <c r="E19" s="8" t="s">
        <v>1192</v>
      </c>
      <c r="F19" s="7" t="s">
        <v>1519</v>
      </c>
      <c r="G19" s="10"/>
      <c r="H19" s="7" t="s">
        <v>1506</v>
      </c>
      <c r="I19" s="7" t="s">
        <v>1521</v>
      </c>
      <c r="J19" s="7" t="s">
        <v>1461</v>
      </c>
      <c r="K19" s="7" t="s">
        <v>1193</v>
      </c>
      <c r="L19" s="11" t="str">
        <f>HYPERLINK("http://slimages.macys.com/is/image/MCY/9539706 ")</f>
        <v xml:space="preserve">http://slimages.macys.com/is/image/MCY/9539706 </v>
      </c>
    </row>
    <row r="20" spans="1:12" ht="39.950000000000003" customHeight="1" x14ac:dyDescent="0.25">
      <c r="A20" s="6" t="s">
        <v>1194</v>
      </c>
      <c r="B20" s="7" t="s">
        <v>1195</v>
      </c>
      <c r="C20" s="8">
        <v>1</v>
      </c>
      <c r="D20" s="9">
        <v>49.99</v>
      </c>
      <c r="E20" s="8" t="s">
        <v>1196</v>
      </c>
      <c r="F20" s="7"/>
      <c r="G20" s="10" t="s">
        <v>1197</v>
      </c>
      <c r="H20" s="7" t="s">
        <v>1506</v>
      </c>
      <c r="I20" s="7" t="s">
        <v>1959</v>
      </c>
      <c r="J20" s="7" t="s">
        <v>1461</v>
      </c>
      <c r="K20" s="7" t="s">
        <v>1564</v>
      </c>
      <c r="L20" s="11" t="str">
        <f>HYPERLINK("http://slimages.macys.com/is/image/MCY/13814632 ")</f>
        <v xml:space="preserve">http://slimages.macys.com/is/image/MCY/13814632 </v>
      </c>
    </row>
    <row r="21" spans="1:12" ht="39.950000000000003" customHeight="1" x14ac:dyDescent="0.25">
      <c r="A21" s="6" t="s">
        <v>2230</v>
      </c>
      <c r="B21" s="7" t="s">
        <v>2231</v>
      </c>
      <c r="C21" s="8">
        <v>2</v>
      </c>
      <c r="D21" s="9">
        <v>79.98</v>
      </c>
      <c r="E21" s="8" t="s">
        <v>2232</v>
      </c>
      <c r="F21" s="7" t="s">
        <v>1458</v>
      </c>
      <c r="G21" s="10"/>
      <c r="H21" s="7" t="s">
        <v>1605</v>
      </c>
      <c r="I21" s="7" t="s">
        <v>1822</v>
      </c>
      <c r="J21" s="7"/>
      <c r="K21" s="7"/>
      <c r="L21" s="11" t="str">
        <f>HYPERLINK("http://slimages.macys.com/is/image/MCY/17725003 ")</f>
        <v xml:space="preserve">http://slimages.macys.com/is/image/MCY/17725003 </v>
      </c>
    </row>
    <row r="22" spans="1:12" ht="39.950000000000003" customHeight="1" x14ac:dyDescent="0.25">
      <c r="A22" s="6" t="s">
        <v>1198</v>
      </c>
      <c r="B22" s="7" t="s">
        <v>1199</v>
      </c>
      <c r="C22" s="8">
        <v>2</v>
      </c>
      <c r="D22" s="9">
        <v>61.98</v>
      </c>
      <c r="E22" s="8" t="s">
        <v>1200</v>
      </c>
      <c r="F22" s="7" t="s">
        <v>1519</v>
      </c>
      <c r="G22" s="10"/>
      <c r="H22" s="7" t="s">
        <v>1506</v>
      </c>
      <c r="I22" s="7" t="s">
        <v>1521</v>
      </c>
      <c r="J22" s="7" t="s">
        <v>1461</v>
      </c>
      <c r="K22" s="7" t="s">
        <v>1201</v>
      </c>
      <c r="L22" s="11" t="str">
        <f>HYPERLINK("http://slimages.macys.com/is/image/MCY/9539706 ")</f>
        <v xml:space="preserve">http://slimages.macys.com/is/image/MCY/9539706 </v>
      </c>
    </row>
    <row r="23" spans="1:12" ht="39.950000000000003" customHeight="1" x14ac:dyDescent="0.25">
      <c r="A23" s="6" t="s">
        <v>1202</v>
      </c>
      <c r="B23" s="7" t="s">
        <v>1203</v>
      </c>
      <c r="C23" s="8">
        <v>1</v>
      </c>
      <c r="D23" s="9">
        <v>59.99</v>
      </c>
      <c r="E23" s="8" t="s">
        <v>1204</v>
      </c>
      <c r="F23" s="7" t="s">
        <v>1554</v>
      </c>
      <c r="G23" s="10"/>
      <c r="H23" s="7" t="s">
        <v>1496</v>
      </c>
      <c r="I23" s="7" t="s">
        <v>1526</v>
      </c>
      <c r="J23" s="7" t="s">
        <v>1461</v>
      </c>
      <c r="K23" s="7" t="s">
        <v>1527</v>
      </c>
      <c r="L23" s="11" t="str">
        <f>HYPERLINK("http://slimages.macys.com/is/image/MCY/8432521 ")</f>
        <v xml:space="preserve">http://slimages.macys.com/is/image/MCY/8432521 </v>
      </c>
    </row>
    <row r="24" spans="1:12" ht="39.950000000000003" customHeight="1" x14ac:dyDescent="0.25">
      <c r="A24" s="6" t="s">
        <v>1205</v>
      </c>
      <c r="B24" s="7" t="s">
        <v>1206</v>
      </c>
      <c r="C24" s="8">
        <v>1</v>
      </c>
      <c r="D24" s="9">
        <v>37.99</v>
      </c>
      <c r="E24" s="8" t="s">
        <v>1207</v>
      </c>
      <c r="F24" s="7" t="s">
        <v>1458</v>
      </c>
      <c r="G24" s="10"/>
      <c r="H24" s="7" t="s">
        <v>1506</v>
      </c>
      <c r="I24" s="7" t="s">
        <v>1208</v>
      </c>
      <c r="J24" s="7" t="s">
        <v>1461</v>
      </c>
      <c r="K24" s="7" t="s">
        <v>1564</v>
      </c>
      <c r="L24" s="11" t="str">
        <f>HYPERLINK("http://slimages.macys.com/is/image/MCY/15049330 ")</f>
        <v xml:space="preserve">http://slimages.macys.com/is/image/MCY/15049330 </v>
      </c>
    </row>
    <row r="25" spans="1:12" ht="39.950000000000003" customHeight="1" x14ac:dyDescent="0.25">
      <c r="A25" s="6" t="s">
        <v>1209</v>
      </c>
      <c r="B25" s="7" t="s">
        <v>1210</v>
      </c>
      <c r="C25" s="8">
        <v>1</v>
      </c>
      <c r="D25" s="9">
        <v>30.99</v>
      </c>
      <c r="E25" s="8" t="s">
        <v>1211</v>
      </c>
      <c r="F25" s="7" t="s">
        <v>1458</v>
      </c>
      <c r="G25" s="10"/>
      <c r="H25" s="7" t="s">
        <v>1506</v>
      </c>
      <c r="I25" s="7" t="s">
        <v>605</v>
      </c>
      <c r="J25" s="7" t="s">
        <v>1461</v>
      </c>
      <c r="K25" s="7"/>
      <c r="L25" s="11" t="str">
        <f>HYPERLINK("http://slimages.macys.com/is/image/MCY/9211705 ")</f>
        <v xml:space="preserve">http://slimages.macys.com/is/image/MCY/9211705 </v>
      </c>
    </row>
    <row r="26" spans="1:12" ht="39.950000000000003" customHeight="1" x14ac:dyDescent="0.25">
      <c r="A26" s="6" t="s">
        <v>788</v>
      </c>
      <c r="B26" s="7" t="s">
        <v>789</v>
      </c>
      <c r="C26" s="8">
        <v>3</v>
      </c>
      <c r="D26" s="9">
        <v>104.97</v>
      </c>
      <c r="E26" s="8" t="s">
        <v>790</v>
      </c>
      <c r="F26" s="7" t="s">
        <v>1495</v>
      </c>
      <c r="G26" s="10"/>
      <c r="H26" s="7" t="s">
        <v>1532</v>
      </c>
      <c r="I26" s="7" t="s">
        <v>2261</v>
      </c>
      <c r="J26" s="7" t="s">
        <v>1461</v>
      </c>
      <c r="K26" s="7" t="s">
        <v>1527</v>
      </c>
      <c r="L26" s="11" t="str">
        <f>HYPERLINK("http://slimages.macys.com/is/image/MCY/2620611 ")</f>
        <v xml:space="preserve">http://slimages.macys.com/is/image/MCY/2620611 </v>
      </c>
    </row>
    <row r="27" spans="1:12" ht="39.950000000000003" customHeight="1" x14ac:dyDescent="0.25">
      <c r="A27" s="6" t="s">
        <v>791</v>
      </c>
      <c r="B27" s="7" t="s">
        <v>792</v>
      </c>
      <c r="C27" s="8">
        <v>4</v>
      </c>
      <c r="D27" s="9">
        <v>119.96</v>
      </c>
      <c r="E27" s="8" t="s">
        <v>793</v>
      </c>
      <c r="F27" s="7" t="s">
        <v>1495</v>
      </c>
      <c r="G27" s="10"/>
      <c r="H27" s="7" t="s">
        <v>1532</v>
      </c>
      <c r="I27" s="7" t="s">
        <v>2261</v>
      </c>
      <c r="J27" s="7" t="s">
        <v>1461</v>
      </c>
      <c r="K27" s="7" t="s">
        <v>1527</v>
      </c>
      <c r="L27" s="11" t="str">
        <f>HYPERLINK("http://slimages.macys.com/is/image/MCY/2620611 ")</f>
        <v xml:space="preserve">http://slimages.macys.com/is/image/MCY/2620611 </v>
      </c>
    </row>
    <row r="28" spans="1:12" ht="39.950000000000003" customHeight="1" x14ac:dyDescent="0.25">
      <c r="A28" s="6" t="s">
        <v>1212</v>
      </c>
      <c r="B28" s="7" t="s">
        <v>1213</v>
      </c>
      <c r="C28" s="8">
        <v>6</v>
      </c>
      <c r="D28" s="9">
        <v>233.94</v>
      </c>
      <c r="E28" s="8" t="s">
        <v>1214</v>
      </c>
      <c r="F28" s="7" t="s">
        <v>688</v>
      </c>
      <c r="G28" s="10"/>
      <c r="H28" s="7" t="s">
        <v>1506</v>
      </c>
      <c r="I28" s="7" t="s">
        <v>2006</v>
      </c>
      <c r="J28" s="7" t="s">
        <v>1461</v>
      </c>
      <c r="K28" s="7" t="s">
        <v>1215</v>
      </c>
      <c r="L28" s="11" t="str">
        <f>HYPERLINK("http://slimages.macys.com/is/image/MCY/12265150 ")</f>
        <v xml:space="preserve">http://slimages.macys.com/is/image/MCY/12265150 </v>
      </c>
    </row>
    <row r="29" spans="1:12" ht="39.950000000000003" customHeight="1" x14ac:dyDescent="0.25">
      <c r="A29" s="6" t="s">
        <v>1216</v>
      </c>
      <c r="B29" s="7" t="s">
        <v>1217</v>
      </c>
      <c r="C29" s="8">
        <v>1</v>
      </c>
      <c r="D29" s="9">
        <v>29.99</v>
      </c>
      <c r="E29" s="8" t="s">
        <v>1218</v>
      </c>
      <c r="F29" s="7"/>
      <c r="G29" s="10"/>
      <c r="H29" s="7" t="s">
        <v>1664</v>
      </c>
      <c r="I29" s="7" t="s">
        <v>1588</v>
      </c>
      <c r="J29" s="7" t="s">
        <v>1461</v>
      </c>
      <c r="K29" s="7" t="s">
        <v>1564</v>
      </c>
      <c r="L29" s="11" t="str">
        <f>HYPERLINK("http://slimages.macys.com/is/image/MCY/14911488 ")</f>
        <v xml:space="preserve">http://slimages.macys.com/is/image/MCY/14911488 </v>
      </c>
    </row>
    <row r="30" spans="1:12" ht="39.950000000000003" customHeight="1" x14ac:dyDescent="0.25">
      <c r="A30" s="6" t="s">
        <v>1219</v>
      </c>
      <c r="B30" s="7" t="s">
        <v>1220</v>
      </c>
      <c r="C30" s="8">
        <v>3</v>
      </c>
      <c r="D30" s="9">
        <v>71.97</v>
      </c>
      <c r="E30" s="8" t="s">
        <v>1221</v>
      </c>
      <c r="F30" s="7" t="s">
        <v>1519</v>
      </c>
      <c r="G30" s="10"/>
      <c r="H30" s="7" t="s">
        <v>1506</v>
      </c>
      <c r="I30" s="7" t="s">
        <v>1521</v>
      </c>
      <c r="J30" s="7" t="s">
        <v>1461</v>
      </c>
      <c r="K30" s="7" t="s">
        <v>1222</v>
      </c>
      <c r="L30" s="11" t="str">
        <f>HYPERLINK("http://slimages.macys.com/is/image/MCY/9548988 ")</f>
        <v xml:space="preserve">http://slimages.macys.com/is/image/MCY/9548988 </v>
      </c>
    </row>
    <row r="31" spans="1:12" ht="39.950000000000003" customHeight="1" x14ac:dyDescent="0.25">
      <c r="A31" s="6" t="s">
        <v>1223</v>
      </c>
      <c r="B31" s="7" t="s">
        <v>1224</v>
      </c>
      <c r="C31" s="8">
        <v>1</v>
      </c>
      <c r="D31" s="9">
        <v>24.99</v>
      </c>
      <c r="E31" s="8" t="s">
        <v>1225</v>
      </c>
      <c r="F31" s="7" t="s">
        <v>1519</v>
      </c>
      <c r="G31" s="10"/>
      <c r="H31" s="7" t="s">
        <v>1506</v>
      </c>
      <c r="I31" s="7" t="s">
        <v>1950</v>
      </c>
      <c r="J31" s="7" t="s">
        <v>1461</v>
      </c>
      <c r="K31" s="7" t="s">
        <v>1527</v>
      </c>
      <c r="L31" s="11" t="str">
        <f>HYPERLINK("http://slimages.macys.com/is/image/MCY/3250787 ")</f>
        <v xml:space="preserve">http://slimages.macys.com/is/image/MCY/3250787 </v>
      </c>
    </row>
    <row r="32" spans="1:12" ht="39.950000000000003" customHeight="1" x14ac:dyDescent="0.25">
      <c r="A32" s="6" t="s">
        <v>1226</v>
      </c>
      <c r="B32" s="7" t="s">
        <v>1227</v>
      </c>
      <c r="C32" s="8">
        <v>3</v>
      </c>
      <c r="D32" s="9">
        <v>29.97</v>
      </c>
      <c r="E32" s="8">
        <v>1933</v>
      </c>
      <c r="F32" s="7" t="s">
        <v>1554</v>
      </c>
      <c r="G32" s="10" t="s">
        <v>1644</v>
      </c>
      <c r="H32" s="7" t="s">
        <v>1605</v>
      </c>
      <c r="I32" s="7" t="s">
        <v>1777</v>
      </c>
      <c r="J32" s="7" t="s">
        <v>1461</v>
      </c>
      <c r="K32" s="7" t="s">
        <v>1527</v>
      </c>
      <c r="L32" s="11" t="str">
        <f>HYPERLINK("http://slimages.macys.com/is/image/MCY/1412025 ")</f>
        <v xml:space="preserve">http://slimages.macys.com/is/image/MCY/1412025 </v>
      </c>
    </row>
    <row r="33" spans="1:12" ht="39.950000000000003" customHeight="1" x14ac:dyDescent="0.25">
      <c r="A33" s="6" t="s">
        <v>2290</v>
      </c>
      <c r="B33" s="7" t="s">
        <v>2291</v>
      </c>
      <c r="C33" s="8">
        <v>8</v>
      </c>
      <c r="D33" s="9">
        <v>119.92</v>
      </c>
      <c r="E33" s="8" t="s">
        <v>2292</v>
      </c>
      <c r="F33" s="7" t="s">
        <v>1505</v>
      </c>
      <c r="G33" s="10" t="s">
        <v>2241</v>
      </c>
      <c r="H33" s="7" t="s">
        <v>1506</v>
      </c>
      <c r="I33" s="7" t="s">
        <v>2276</v>
      </c>
      <c r="J33" s="7"/>
      <c r="K33" s="7"/>
      <c r="L33" s="11" t="str">
        <f>HYPERLINK("http://slimages.macys.com/is/image/MCY/17620637 ")</f>
        <v xml:space="preserve">http://slimages.macys.com/is/image/MCY/17620637 </v>
      </c>
    </row>
    <row r="34" spans="1:12" ht="39.950000000000003" customHeight="1" x14ac:dyDescent="0.25">
      <c r="A34" s="6" t="s">
        <v>1228</v>
      </c>
      <c r="B34" s="7" t="s">
        <v>1229</v>
      </c>
      <c r="C34" s="8">
        <v>5</v>
      </c>
      <c r="D34" s="9">
        <v>74.95</v>
      </c>
      <c r="E34" s="8">
        <v>1007028900</v>
      </c>
      <c r="F34" s="7" t="s">
        <v>1458</v>
      </c>
      <c r="G34" s="10"/>
      <c r="H34" s="7" t="s">
        <v>1578</v>
      </c>
      <c r="I34" s="7" t="s">
        <v>2017</v>
      </c>
      <c r="J34" s="7" t="s">
        <v>1461</v>
      </c>
      <c r="K34" s="7" t="s">
        <v>2018</v>
      </c>
      <c r="L34" s="11" t="str">
        <f>HYPERLINK("http://slimages.macys.com/is/image/MCY/13985069 ")</f>
        <v xml:space="preserve">http://slimages.macys.com/is/image/MCY/13985069 </v>
      </c>
    </row>
    <row r="35" spans="1:12" ht="39.950000000000003" customHeight="1" x14ac:dyDescent="0.25">
      <c r="A35" s="6" t="s">
        <v>1230</v>
      </c>
      <c r="B35" s="7" t="s">
        <v>1231</v>
      </c>
      <c r="C35" s="8">
        <v>1</v>
      </c>
      <c r="D35" s="9">
        <v>14.99</v>
      </c>
      <c r="E35" s="8" t="s">
        <v>1616</v>
      </c>
      <c r="F35" s="7" t="s">
        <v>2044</v>
      </c>
      <c r="G35" s="10" t="s">
        <v>1577</v>
      </c>
      <c r="H35" s="7" t="s">
        <v>1578</v>
      </c>
      <c r="I35" s="7" t="s">
        <v>1617</v>
      </c>
      <c r="J35" s="7" t="s">
        <v>1461</v>
      </c>
      <c r="K35" s="7" t="s">
        <v>1618</v>
      </c>
      <c r="L35" s="11" t="str">
        <f>HYPERLINK("http://slimages.macys.com/is/image/MCY/11946722 ")</f>
        <v xml:space="preserve">http://slimages.macys.com/is/image/MCY/11946722 </v>
      </c>
    </row>
    <row r="36" spans="1:12" ht="39.950000000000003" customHeight="1" x14ac:dyDescent="0.25">
      <c r="A36" s="6"/>
      <c r="B36" s="7"/>
      <c r="C36" s="8"/>
      <c r="D36" s="9"/>
      <c r="E36" s="8"/>
      <c r="F36" s="7"/>
      <c r="G36" s="10"/>
      <c r="H36" s="7"/>
      <c r="I36" s="7"/>
      <c r="J36" s="7"/>
      <c r="K36" s="7"/>
      <c r="L36" s="11"/>
    </row>
    <row r="37" spans="1:12" ht="39.950000000000003" customHeight="1" x14ac:dyDescent="0.25">
      <c r="A37" s="6"/>
      <c r="B37" s="7"/>
      <c r="C37" s="8"/>
      <c r="D37" s="9"/>
      <c r="E37" s="8"/>
      <c r="F37" s="7"/>
      <c r="G37" s="10"/>
      <c r="H37" s="7"/>
      <c r="I37" s="7"/>
      <c r="J37" s="7"/>
      <c r="K37" s="7"/>
      <c r="L37" s="11"/>
    </row>
    <row r="38" spans="1:12" ht="39.950000000000003" customHeight="1" x14ac:dyDescent="0.25">
      <c r="A38" s="6"/>
      <c r="B38" s="7"/>
      <c r="C38" s="8"/>
      <c r="D38" s="9"/>
      <c r="E38" s="8"/>
      <c r="F38" s="7"/>
      <c r="G38" s="10"/>
      <c r="H38" s="7"/>
      <c r="I38" s="7"/>
      <c r="J38" s="7"/>
      <c r="K38" s="7"/>
      <c r="L38" s="11"/>
    </row>
    <row r="39" spans="1:12" ht="39.950000000000003" customHeight="1" x14ac:dyDescent="0.25">
      <c r="A39" s="6"/>
      <c r="B39" s="7"/>
      <c r="C39" s="8"/>
      <c r="D39" s="9"/>
      <c r="E39" s="8"/>
      <c r="F39" s="7"/>
      <c r="G39" s="10"/>
      <c r="H39" s="7"/>
      <c r="I39" s="7"/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24" workbookViewId="0">
      <selection activeCell="A24" sqref="A24"/>
    </sheetView>
  </sheetViews>
  <sheetFormatPr defaultRowHeight="39.950000000000003" customHeight="1" x14ac:dyDescent="0.25"/>
  <cols>
    <col min="1" max="1" width="13.85546875" customWidth="1"/>
    <col min="2" max="2" width="44.5703125" customWidth="1"/>
    <col min="3" max="4" width="8.7109375" bestFit="1" customWidth="1"/>
    <col min="5" max="5" width="12" bestFit="1" customWidth="1"/>
    <col min="6" max="7" width="8.85546875" bestFit="1" customWidth="1"/>
    <col min="8" max="8" width="9" bestFit="1" customWidth="1"/>
    <col min="12" max="12" width="26.710937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1232</v>
      </c>
      <c r="B2" s="7" t="s">
        <v>1233</v>
      </c>
      <c r="C2" s="8">
        <v>1</v>
      </c>
      <c r="D2" s="9">
        <v>499.99</v>
      </c>
      <c r="E2" s="8" t="s">
        <v>1234</v>
      </c>
      <c r="F2" s="7" t="s">
        <v>1458</v>
      </c>
      <c r="G2" s="10"/>
      <c r="H2" s="7" t="s">
        <v>1459</v>
      </c>
      <c r="I2" s="7" t="s">
        <v>1460</v>
      </c>
      <c r="J2" s="7" t="s">
        <v>1461</v>
      </c>
      <c r="K2" s="7" t="s">
        <v>1462</v>
      </c>
      <c r="L2" s="11" t="str">
        <f>HYPERLINK("http://slimages.macys.com/is/image/MCY/3974563 ")</f>
        <v xml:space="preserve">http://slimages.macys.com/is/image/MCY/3974563 </v>
      </c>
    </row>
    <row r="3" spans="1:12" ht="39.950000000000003" customHeight="1" x14ac:dyDescent="0.25">
      <c r="A3" s="6" t="s">
        <v>1235</v>
      </c>
      <c r="B3" s="7" t="s">
        <v>1236</v>
      </c>
      <c r="C3" s="8">
        <v>1</v>
      </c>
      <c r="D3" s="9">
        <v>299.99</v>
      </c>
      <c r="E3" s="8" t="s">
        <v>1237</v>
      </c>
      <c r="F3" s="7" t="s">
        <v>598</v>
      </c>
      <c r="G3" s="10"/>
      <c r="H3" s="7" t="s">
        <v>1764</v>
      </c>
      <c r="I3" s="7" t="s">
        <v>1884</v>
      </c>
      <c r="J3" s="7" t="s">
        <v>1461</v>
      </c>
      <c r="K3" s="7" t="s">
        <v>2213</v>
      </c>
      <c r="L3" s="11" t="str">
        <f>HYPERLINK("http://slimages.macys.com/is/image/MCY/2567151 ")</f>
        <v xml:space="preserve">http://slimages.macys.com/is/image/MCY/2567151 </v>
      </c>
    </row>
    <row r="4" spans="1:12" ht="39.950000000000003" customHeight="1" x14ac:dyDescent="0.25">
      <c r="A4" s="6" t="s">
        <v>1238</v>
      </c>
      <c r="B4" s="7" t="s">
        <v>1239</v>
      </c>
      <c r="C4" s="8">
        <v>1</v>
      </c>
      <c r="D4" s="9">
        <v>179.99</v>
      </c>
      <c r="E4" s="8">
        <v>61134</v>
      </c>
      <c r="F4" s="7" t="s">
        <v>1458</v>
      </c>
      <c r="G4" s="10"/>
      <c r="H4" s="7" t="s">
        <v>1692</v>
      </c>
      <c r="I4" s="7" t="s">
        <v>1969</v>
      </c>
      <c r="J4" s="7" t="s">
        <v>1461</v>
      </c>
      <c r="K4" s="7" t="s">
        <v>1564</v>
      </c>
      <c r="L4" s="11" t="str">
        <f>HYPERLINK("http://slimages.macys.com/is/image/MCY/15866429 ")</f>
        <v xml:space="preserve">http://slimages.macys.com/is/image/MCY/15866429 </v>
      </c>
    </row>
    <row r="5" spans="1:12" ht="39.950000000000003" customHeight="1" x14ac:dyDescent="0.25">
      <c r="A5" s="6" t="s">
        <v>1240</v>
      </c>
      <c r="B5" s="7" t="s">
        <v>1241</v>
      </c>
      <c r="C5" s="8">
        <v>1</v>
      </c>
      <c r="D5" s="9">
        <v>119.99</v>
      </c>
      <c r="E5" s="8" t="s">
        <v>1242</v>
      </c>
      <c r="F5" s="7" t="s">
        <v>1613</v>
      </c>
      <c r="G5" s="10"/>
      <c r="H5" s="7" t="s">
        <v>1545</v>
      </c>
      <c r="I5" s="7" t="s">
        <v>1546</v>
      </c>
      <c r="J5" s="7" t="s">
        <v>1461</v>
      </c>
      <c r="K5" s="7"/>
      <c r="L5" s="11" t="str">
        <f>HYPERLINK("http://slimages.macys.com/is/image/MCY/15176081 ")</f>
        <v xml:space="preserve">http://slimages.macys.com/is/image/MCY/15176081 </v>
      </c>
    </row>
    <row r="6" spans="1:12" ht="39.950000000000003" customHeight="1" x14ac:dyDescent="0.25">
      <c r="A6" s="6" t="s">
        <v>1243</v>
      </c>
      <c r="B6" s="7" t="s">
        <v>1244</v>
      </c>
      <c r="C6" s="8">
        <v>1</v>
      </c>
      <c r="D6" s="9">
        <v>123.99</v>
      </c>
      <c r="E6" s="8" t="s">
        <v>1245</v>
      </c>
      <c r="F6" s="7" t="s">
        <v>1651</v>
      </c>
      <c r="G6" s="10"/>
      <c r="H6" s="7" t="s">
        <v>1506</v>
      </c>
      <c r="I6" s="7" t="s">
        <v>841</v>
      </c>
      <c r="J6" s="7" t="s">
        <v>1461</v>
      </c>
      <c r="K6" s="7" t="s">
        <v>1246</v>
      </c>
      <c r="L6" s="11" t="str">
        <f>HYPERLINK("http://slimages.macys.com/is/image/MCY/13932469 ")</f>
        <v xml:space="preserve">http://slimages.macys.com/is/image/MCY/13932469 </v>
      </c>
    </row>
    <row r="7" spans="1:12" ht="39.950000000000003" customHeight="1" x14ac:dyDescent="0.25">
      <c r="A7" s="6" t="s">
        <v>1247</v>
      </c>
      <c r="B7" s="7" t="s">
        <v>1248</v>
      </c>
      <c r="C7" s="8">
        <v>1</v>
      </c>
      <c r="D7" s="9">
        <v>99.99</v>
      </c>
      <c r="E7" s="8" t="s">
        <v>1249</v>
      </c>
      <c r="F7" s="7" t="s">
        <v>1711</v>
      </c>
      <c r="G7" s="10"/>
      <c r="H7" s="7" t="s">
        <v>1545</v>
      </c>
      <c r="I7" s="7" t="s">
        <v>1546</v>
      </c>
      <c r="J7" s="7" t="s">
        <v>1600</v>
      </c>
      <c r="K7" s="7" t="s">
        <v>1250</v>
      </c>
      <c r="L7" s="11" t="str">
        <f>HYPERLINK("http://slimages.macys.com/is/image/MCY/9778039 ")</f>
        <v xml:space="preserve">http://slimages.macys.com/is/image/MCY/9778039 </v>
      </c>
    </row>
    <row r="8" spans="1:12" ht="39.950000000000003" customHeight="1" x14ac:dyDescent="0.25">
      <c r="A8" s="6" t="s">
        <v>1809</v>
      </c>
      <c r="B8" s="7" t="s">
        <v>1810</v>
      </c>
      <c r="C8" s="8">
        <v>1</v>
      </c>
      <c r="D8" s="9">
        <v>129.99</v>
      </c>
      <c r="E8" s="8" t="s">
        <v>1811</v>
      </c>
      <c r="F8" s="7" t="s">
        <v>1525</v>
      </c>
      <c r="G8" s="10"/>
      <c r="H8" s="7" t="s">
        <v>1545</v>
      </c>
      <c r="I8" s="7" t="s">
        <v>1546</v>
      </c>
      <c r="J8" s="7"/>
      <c r="K8" s="7"/>
      <c r="L8" s="11" t="str">
        <f>HYPERLINK("http://slimages.macys.com/is/image/MCY/17450407 ")</f>
        <v xml:space="preserve">http://slimages.macys.com/is/image/MCY/17450407 </v>
      </c>
    </row>
    <row r="9" spans="1:12" ht="39.950000000000003" customHeight="1" x14ac:dyDescent="0.25">
      <c r="A9" s="6" t="s">
        <v>1251</v>
      </c>
      <c r="B9" s="7" t="s">
        <v>1252</v>
      </c>
      <c r="C9" s="8">
        <v>1</v>
      </c>
      <c r="D9" s="9">
        <v>99.99</v>
      </c>
      <c r="E9" s="8" t="s">
        <v>1253</v>
      </c>
      <c r="F9" s="7" t="s">
        <v>1560</v>
      </c>
      <c r="G9" s="10"/>
      <c r="H9" s="7" t="s">
        <v>1550</v>
      </c>
      <c r="I9" s="7" t="s">
        <v>1790</v>
      </c>
      <c r="J9" s="7"/>
      <c r="K9" s="7"/>
      <c r="L9" s="11" t="str">
        <f>HYPERLINK("http://slimages.macys.com/is/image/MCY/18491886 ")</f>
        <v xml:space="preserve">http://slimages.macys.com/is/image/MCY/18491886 </v>
      </c>
    </row>
    <row r="10" spans="1:12" ht="39.950000000000003" customHeight="1" x14ac:dyDescent="0.25">
      <c r="A10" s="6" t="s">
        <v>1254</v>
      </c>
      <c r="B10" s="7" t="s">
        <v>1255</v>
      </c>
      <c r="C10" s="8">
        <v>1</v>
      </c>
      <c r="D10" s="9">
        <v>59.99</v>
      </c>
      <c r="E10" s="8" t="s">
        <v>1256</v>
      </c>
      <c r="F10" s="7" t="s">
        <v>1554</v>
      </c>
      <c r="G10" s="10"/>
      <c r="H10" s="7" t="s">
        <v>1555</v>
      </c>
      <c r="I10" s="7" t="s">
        <v>1830</v>
      </c>
      <c r="J10" s="7"/>
      <c r="K10" s="7"/>
      <c r="L10" s="11" t="str">
        <f>HYPERLINK("http://slimages.macys.com/is/image/MCY/17822518 ")</f>
        <v xml:space="preserve">http://slimages.macys.com/is/image/MCY/17822518 </v>
      </c>
    </row>
    <row r="11" spans="1:12" ht="39.950000000000003" customHeight="1" x14ac:dyDescent="0.25">
      <c r="A11" s="6" t="s">
        <v>1257</v>
      </c>
      <c r="B11" s="7" t="s">
        <v>1258</v>
      </c>
      <c r="C11" s="8">
        <v>1</v>
      </c>
      <c r="D11" s="9">
        <v>89.99</v>
      </c>
      <c r="E11" s="8" t="s">
        <v>1259</v>
      </c>
      <c r="F11" s="7" t="s">
        <v>1627</v>
      </c>
      <c r="G11" s="10"/>
      <c r="H11" s="7" t="s">
        <v>1496</v>
      </c>
      <c r="I11" s="7" t="s">
        <v>1260</v>
      </c>
      <c r="J11" s="7" t="s">
        <v>1461</v>
      </c>
      <c r="K11" s="7" t="s">
        <v>1261</v>
      </c>
      <c r="L11" s="11" t="str">
        <f>HYPERLINK("http://slimages.macys.com/is/image/MCY/11518009 ")</f>
        <v xml:space="preserve">http://slimages.macys.com/is/image/MCY/11518009 </v>
      </c>
    </row>
    <row r="12" spans="1:12" ht="39.950000000000003" customHeight="1" x14ac:dyDescent="0.25">
      <c r="A12" s="6" t="s">
        <v>1262</v>
      </c>
      <c r="B12" s="7" t="s">
        <v>1263</v>
      </c>
      <c r="C12" s="8">
        <v>1</v>
      </c>
      <c r="D12" s="9">
        <v>59.99</v>
      </c>
      <c r="E12" s="8" t="s">
        <v>1264</v>
      </c>
      <c r="F12" s="7" t="s">
        <v>1711</v>
      </c>
      <c r="G12" s="10"/>
      <c r="H12" s="7" t="s">
        <v>1555</v>
      </c>
      <c r="I12" s="7" t="s">
        <v>1830</v>
      </c>
      <c r="J12" s="7" t="s">
        <v>1461</v>
      </c>
      <c r="K12" s="7" t="s">
        <v>1831</v>
      </c>
      <c r="L12" s="11" t="str">
        <f>HYPERLINK("http://slimages.macys.com/is/image/MCY/13036438 ")</f>
        <v xml:space="preserve">http://slimages.macys.com/is/image/MCY/13036438 </v>
      </c>
    </row>
    <row r="13" spans="1:12" ht="39.950000000000003" customHeight="1" x14ac:dyDescent="0.25">
      <c r="A13" s="6" t="s">
        <v>1265</v>
      </c>
      <c r="B13" s="7" t="s">
        <v>1266</v>
      </c>
      <c r="C13" s="8">
        <v>1</v>
      </c>
      <c r="D13" s="9">
        <v>59.99</v>
      </c>
      <c r="E13" s="8" t="s">
        <v>1267</v>
      </c>
      <c r="F13" s="7" t="s">
        <v>1544</v>
      </c>
      <c r="G13" s="10"/>
      <c r="H13" s="7" t="s">
        <v>1555</v>
      </c>
      <c r="I13" s="7" t="s">
        <v>1830</v>
      </c>
      <c r="J13" s="7" t="s">
        <v>1461</v>
      </c>
      <c r="K13" s="7" t="s">
        <v>1831</v>
      </c>
      <c r="L13" s="11" t="str">
        <f>HYPERLINK("http://slimages.macys.com/is/image/MCY/13036438 ")</f>
        <v xml:space="preserve">http://slimages.macys.com/is/image/MCY/13036438 </v>
      </c>
    </row>
    <row r="14" spans="1:12" ht="39.950000000000003" customHeight="1" x14ac:dyDescent="0.25">
      <c r="A14" s="6" t="s">
        <v>1268</v>
      </c>
      <c r="B14" s="7" t="s">
        <v>1269</v>
      </c>
      <c r="C14" s="8">
        <v>1</v>
      </c>
      <c r="D14" s="9">
        <v>79.989999999999995</v>
      </c>
      <c r="E14" s="8" t="s">
        <v>1270</v>
      </c>
      <c r="F14" s="7" t="s">
        <v>598</v>
      </c>
      <c r="G14" s="10"/>
      <c r="H14" s="7" t="s">
        <v>1520</v>
      </c>
      <c r="I14" s="7" t="s">
        <v>1733</v>
      </c>
      <c r="J14" s="7" t="s">
        <v>1461</v>
      </c>
      <c r="K14" s="7" t="s">
        <v>1823</v>
      </c>
      <c r="L14" s="11" t="str">
        <f>HYPERLINK("http://slimages.macys.com/is/image/MCY/8935615 ")</f>
        <v xml:space="preserve">http://slimages.macys.com/is/image/MCY/8935615 </v>
      </c>
    </row>
    <row r="15" spans="1:12" ht="39.950000000000003" customHeight="1" x14ac:dyDescent="0.25">
      <c r="A15" s="6" t="s">
        <v>1271</v>
      </c>
      <c r="B15" s="7" t="s">
        <v>1272</v>
      </c>
      <c r="C15" s="8">
        <v>2</v>
      </c>
      <c r="D15" s="9">
        <v>119.98</v>
      </c>
      <c r="E15" s="8">
        <v>21477222</v>
      </c>
      <c r="F15" s="7" t="s">
        <v>1554</v>
      </c>
      <c r="G15" s="10"/>
      <c r="H15" s="7" t="s">
        <v>1664</v>
      </c>
      <c r="I15" s="7" t="s">
        <v>1556</v>
      </c>
      <c r="J15" s="7" t="s">
        <v>1461</v>
      </c>
      <c r="K15" s="7" t="s">
        <v>1564</v>
      </c>
      <c r="L15" s="11" t="str">
        <f>HYPERLINK("http://slimages.macys.com/is/image/MCY/15396155 ")</f>
        <v xml:space="preserve">http://slimages.macys.com/is/image/MCY/15396155 </v>
      </c>
    </row>
    <row r="16" spans="1:12" ht="39.950000000000003" customHeight="1" x14ac:dyDescent="0.25">
      <c r="A16" s="6" t="s">
        <v>1273</v>
      </c>
      <c r="B16" s="7" t="s">
        <v>1274</v>
      </c>
      <c r="C16" s="8">
        <v>1</v>
      </c>
      <c r="D16" s="9">
        <v>49.99</v>
      </c>
      <c r="E16" s="8" t="s">
        <v>1275</v>
      </c>
      <c r="F16" s="7" t="s">
        <v>1560</v>
      </c>
      <c r="G16" s="10"/>
      <c r="H16" s="7" t="s">
        <v>1664</v>
      </c>
      <c r="I16" s="7" t="s">
        <v>1556</v>
      </c>
      <c r="J16" s="7" t="s">
        <v>1461</v>
      </c>
      <c r="K16" s="7" t="s">
        <v>1564</v>
      </c>
      <c r="L16" s="11" t="str">
        <f>HYPERLINK("http://slimages.macys.com/is/image/MCY/8347198 ")</f>
        <v xml:space="preserve">http://slimages.macys.com/is/image/MCY/8347198 </v>
      </c>
    </row>
    <row r="17" spans="1:12" ht="39.950000000000003" customHeight="1" x14ac:dyDescent="0.25">
      <c r="A17" s="6" t="s">
        <v>1276</v>
      </c>
      <c r="B17" s="7" t="s">
        <v>1277</v>
      </c>
      <c r="C17" s="8">
        <v>1</v>
      </c>
      <c r="D17" s="9">
        <v>49.99</v>
      </c>
      <c r="E17" s="8" t="s">
        <v>1278</v>
      </c>
      <c r="F17" s="7"/>
      <c r="G17" s="10"/>
      <c r="H17" s="7" t="s">
        <v>1664</v>
      </c>
      <c r="I17" s="7" t="s">
        <v>1588</v>
      </c>
      <c r="J17" s="7"/>
      <c r="K17" s="7"/>
      <c r="L17" s="11" t="str">
        <f>HYPERLINK("http://slimages.macys.com/is/image/MCY/16826823 ")</f>
        <v xml:space="preserve">http://slimages.macys.com/is/image/MCY/16826823 </v>
      </c>
    </row>
    <row r="18" spans="1:12" ht="39.950000000000003" customHeight="1" x14ac:dyDescent="0.25">
      <c r="A18" s="6" t="s">
        <v>2113</v>
      </c>
      <c r="B18" s="7" t="s">
        <v>2114</v>
      </c>
      <c r="C18" s="8">
        <v>1</v>
      </c>
      <c r="D18" s="9">
        <v>49.99</v>
      </c>
      <c r="E18" s="8" t="s">
        <v>2115</v>
      </c>
      <c r="F18" s="7"/>
      <c r="G18" s="10"/>
      <c r="H18" s="7" t="s">
        <v>1664</v>
      </c>
      <c r="I18" s="7" t="s">
        <v>1588</v>
      </c>
      <c r="J18" s="7"/>
      <c r="K18" s="7"/>
      <c r="L18" s="11" t="str">
        <f>HYPERLINK("http://slimages.macys.com/is/image/MCY/16826931 ")</f>
        <v xml:space="preserve">http://slimages.macys.com/is/image/MCY/16826931 </v>
      </c>
    </row>
    <row r="19" spans="1:12" ht="39.950000000000003" customHeight="1" x14ac:dyDescent="0.25">
      <c r="A19" s="6" t="s">
        <v>1279</v>
      </c>
      <c r="B19" s="7" t="s">
        <v>1280</v>
      </c>
      <c r="C19" s="8">
        <v>1</v>
      </c>
      <c r="D19" s="9">
        <v>49.99</v>
      </c>
      <c r="E19" s="8" t="s">
        <v>1281</v>
      </c>
      <c r="F19" s="7"/>
      <c r="G19" s="10"/>
      <c r="H19" s="7" t="s">
        <v>1664</v>
      </c>
      <c r="I19" s="7" t="s">
        <v>1588</v>
      </c>
      <c r="J19" s="7"/>
      <c r="K19" s="7"/>
      <c r="L19" s="11" t="str">
        <f>HYPERLINK("http://slimages.macys.com/is/image/MCY/16826931 ")</f>
        <v xml:space="preserve">http://slimages.macys.com/is/image/MCY/16826931 </v>
      </c>
    </row>
    <row r="20" spans="1:12" ht="39.950000000000003" customHeight="1" x14ac:dyDescent="0.25">
      <c r="A20" s="6" t="s">
        <v>1282</v>
      </c>
      <c r="B20" s="7" t="s">
        <v>1283</v>
      </c>
      <c r="C20" s="8">
        <v>1</v>
      </c>
      <c r="D20" s="9">
        <v>48.99</v>
      </c>
      <c r="E20" s="8" t="s">
        <v>1284</v>
      </c>
      <c r="F20" s="7" t="s">
        <v>1519</v>
      </c>
      <c r="G20" s="10"/>
      <c r="H20" s="7" t="s">
        <v>1520</v>
      </c>
      <c r="I20" s="7" t="s">
        <v>1285</v>
      </c>
      <c r="J20" s="7" t="s">
        <v>1461</v>
      </c>
      <c r="K20" s="7" t="s">
        <v>1564</v>
      </c>
      <c r="L20" s="11" t="str">
        <f>HYPERLINK("http://slimages.macys.com/is/image/MCY/14905665 ")</f>
        <v xml:space="preserve">http://slimages.macys.com/is/image/MCY/14905665 </v>
      </c>
    </row>
    <row r="21" spans="1:12" ht="39.950000000000003" customHeight="1" x14ac:dyDescent="0.25">
      <c r="A21" s="6" t="s">
        <v>1286</v>
      </c>
      <c r="B21" s="7" t="s">
        <v>1287</v>
      </c>
      <c r="C21" s="8">
        <v>1</v>
      </c>
      <c r="D21" s="9">
        <v>49.99</v>
      </c>
      <c r="E21" s="8" t="s">
        <v>1288</v>
      </c>
      <c r="F21" s="7" t="s">
        <v>1544</v>
      </c>
      <c r="G21" s="10"/>
      <c r="H21" s="7" t="s">
        <v>1555</v>
      </c>
      <c r="I21" s="7" t="s">
        <v>1830</v>
      </c>
      <c r="J21" s="7"/>
      <c r="K21" s="7"/>
      <c r="L21" s="11" t="str">
        <f>HYPERLINK("http://slimages.macys.com/is/image/MCY/17968749 ")</f>
        <v xml:space="preserve">http://slimages.macys.com/is/image/MCY/17968749 </v>
      </c>
    </row>
    <row r="22" spans="1:12" ht="39.950000000000003" customHeight="1" x14ac:dyDescent="0.25">
      <c r="A22" s="6" t="s">
        <v>1289</v>
      </c>
      <c r="B22" s="7" t="s">
        <v>1290</v>
      </c>
      <c r="C22" s="8">
        <v>1</v>
      </c>
      <c r="D22" s="9">
        <v>39.99</v>
      </c>
      <c r="E22" s="8" t="s">
        <v>1291</v>
      </c>
      <c r="F22" s="7" t="s">
        <v>1554</v>
      </c>
      <c r="G22" s="10"/>
      <c r="H22" s="7" t="s">
        <v>2089</v>
      </c>
      <c r="I22" s="7" t="s">
        <v>2090</v>
      </c>
      <c r="J22" s="7" t="s">
        <v>1461</v>
      </c>
      <c r="K22" s="7" t="s">
        <v>1527</v>
      </c>
      <c r="L22" s="11" t="str">
        <f>HYPERLINK("http://slimages.macys.com/is/image/MCY/15711399 ")</f>
        <v xml:space="preserve">http://slimages.macys.com/is/image/MCY/15711399 </v>
      </c>
    </row>
    <row r="23" spans="1:12" ht="39.950000000000003" customHeight="1" x14ac:dyDescent="0.25">
      <c r="A23" s="6" t="s">
        <v>1292</v>
      </c>
      <c r="B23" s="7" t="s">
        <v>1293</v>
      </c>
      <c r="C23" s="8">
        <v>1</v>
      </c>
      <c r="D23" s="9">
        <v>39.99</v>
      </c>
      <c r="E23" s="8" t="s">
        <v>1294</v>
      </c>
      <c r="F23" s="7" t="s">
        <v>1711</v>
      </c>
      <c r="G23" s="10"/>
      <c r="H23" s="7" t="s">
        <v>2089</v>
      </c>
      <c r="I23" s="7" t="s">
        <v>2090</v>
      </c>
      <c r="J23" s="7" t="s">
        <v>1461</v>
      </c>
      <c r="K23" s="7" t="s">
        <v>1527</v>
      </c>
      <c r="L23" s="11" t="str">
        <f>HYPERLINK("http://slimages.macys.com/is/image/MCY/13949182 ")</f>
        <v xml:space="preserve">http://slimages.macys.com/is/image/MCY/13949182 </v>
      </c>
    </row>
    <row r="24" spans="1:12" ht="39.950000000000003" customHeight="1" x14ac:dyDescent="0.25">
      <c r="A24" s="6" t="s">
        <v>1569</v>
      </c>
      <c r="B24" s="7" t="s">
        <v>1570</v>
      </c>
      <c r="C24" s="8">
        <v>2</v>
      </c>
      <c r="D24" s="9">
        <v>119.98</v>
      </c>
      <c r="E24" s="8">
        <v>10004897500</v>
      </c>
      <c r="F24" s="7" t="s">
        <v>1560</v>
      </c>
      <c r="G24" s="10"/>
      <c r="H24" s="7" t="s">
        <v>1550</v>
      </c>
      <c r="I24" s="7" t="s">
        <v>1551</v>
      </c>
      <c r="J24" s="7" t="s">
        <v>1461</v>
      </c>
      <c r="K24" s="7"/>
      <c r="L24" s="11" t="str">
        <f>HYPERLINK("http://slimages.macys.com/is/image/MCY/14823286 ")</f>
        <v xml:space="preserve">http://slimages.macys.com/is/image/MCY/14823286 </v>
      </c>
    </row>
    <row r="25" spans="1:12" ht="39.950000000000003" customHeight="1" x14ac:dyDescent="0.25">
      <c r="A25" s="6" t="s">
        <v>1295</v>
      </c>
      <c r="B25" s="7" t="s">
        <v>1296</v>
      </c>
      <c r="C25" s="8">
        <v>1</v>
      </c>
      <c r="D25" s="9">
        <v>49.99</v>
      </c>
      <c r="E25" s="8" t="s">
        <v>1297</v>
      </c>
      <c r="F25" s="7" t="s">
        <v>1458</v>
      </c>
      <c r="G25" s="10"/>
      <c r="H25" s="7" t="s">
        <v>1496</v>
      </c>
      <c r="I25" s="7" t="s">
        <v>1526</v>
      </c>
      <c r="J25" s="7" t="s">
        <v>1461</v>
      </c>
      <c r="K25" s="7" t="s">
        <v>1527</v>
      </c>
      <c r="L25" s="11" t="str">
        <f>HYPERLINK("http://slimages.macys.com/is/image/MCY/8432521 ")</f>
        <v xml:space="preserve">http://slimages.macys.com/is/image/MCY/8432521 </v>
      </c>
    </row>
    <row r="26" spans="1:12" ht="39.950000000000003" customHeight="1" x14ac:dyDescent="0.25">
      <c r="A26" s="6" t="s">
        <v>2416</v>
      </c>
      <c r="B26" s="7" t="s">
        <v>2417</v>
      </c>
      <c r="C26" s="8">
        <v>1</v>
      </c>
      <c r="D26" s="9">
        <v>29.99</v>
      </c>
      <c r="E26" s="8" t="s">
        <v>2418</v>
      </c>
      <c r="F26" s="7" t="s">
        <v>1505</v>
      </c>
      <c r="G26" s="10" t="s">
        <v>1577</v>
      </c>
      <c r="H26" s="7" t="s">
        <v>1578</v>
      </c>
      <c r="I26" s="7" t="s">
        <v>1579</v>
      </c>
      <c r="J26" s="7" t="s">
        <v>1461</v>
      </c>
      <c r="K26" s="7" t="s">
        <v>1618</v>
      </c>
      <c r="L26" s="11" t="str">
        <f>HYPERLINK("http://slimages.macys.com/is/image/MCY/13285480 ")</f>
        <v xml:space="preserve">http://slimages.macys.com/is/image/MCY/13285480 </v>
      </c>
    </row>
    <row r="27" spans="1:12" ht="39.950000000000003" customHeight="1" x14ac:dyDescent="0.25">
      <c r="A27" s="6" t="s">
        <v>1298</v>
      </c>
      <c r="B27" s="7" t="s">
        <v>1299</v>
      </c>
      <c r="C27" s="8">
        <v>1</v>
      </c>
      <c r="D27" s="9">
        <v>29.99</v>
      </c>
      <c r="E27" s="8" t="s">
        <v>1300</v>
      </c>
      <c r="F27" s="7" t="s">
        <v>1554</v>
      </c>
      <c r="G27" s="10" t="s">
        <v>1577</v>
      </c>
      <c r="H27" s="7" t="s">
        <v>1578</v>
      </c>
      <c r="I27" s="7" t="s">
        <v>1579</v>
      </c>
      <c r="J27" s="7" t="s">
        <v>1461</v>
      </c>
      <c r="K27" s="7" t="s">
        <v>1618</v>
      </c>
      <c r="L27" s="11" t="str">
        <f>HYPERLINK("http://slimages.macys.com/is/image/MCY/13285480 ")</f>
        <v xml:space="preserve">http://slimages.macys.com/is/image/MCY/13285480 </v>
      </c>
    </row>
    <row r="28" spans="1:12" ht="39.950000000000003" customHeight="1" x14ac:dyDescent="0.25">
      <c r="A28" s="6" t="s">
        <v>2425</v>
      </c>
      <c r="B28" s="7" t="s">
        <v>2426</v>
      </c>
      <c r="C28" s="8">
        <v>1</v>
      </c>
      <c r="D28" s="9">
        <v>34.99</v>
      </c>
      <c r="E28" s="8" t="s">
        <v>2427</v>
      </c>
      <c r="F28" s="7" t="s">
        <v>1458</v>
      </c>
      <c r="G28" s="10"/>
      <c r="H28" s="7" t="s">
        <v>1851</v>
      </c>
      <c r="I28" s="7" t="s">
        <v>1489</v>
      </c>
      <c r="J28" s="7"/>
      <c r="K28" s="7"/>
      <c r="L28" s="11" t="str">
        <f>HYPERLINK("http://slimages.macys.com/is/image/MCY/18753176 ")</f>
        <v xml:space="preserve">http://slimages.macys.com/is/image/MCY/18753176 </v>
      </c>
    </row>
    <row r="29" spans="1:12" ht="39.950000000000003" customHeight="1" x14ac:dyDescent="0.25">
      <c r="A29" s="6" t="s">
        <v>1301</v>
      </c>
      <c r="B29" s="7" t="s">
        <v>1302</v>
      </c>
      <c r="C29" s="8">
        <v>1</v>
      </c>
      <c r="D29" s="9">
        <v>29.99</v>
      </c>
      <c r="E29" s="8" t="s">
        <v>1303</v>
      </c>
      <c r="F29" s="7"/>
      <c r="G29" s="10"/>
      <c r="H29" s="7" t="s">
        <v>1664</v>
      </c>
      <c r="I29" s="7" t="s">
        <v>2152</v>
      </c>
      <c r="J29" s="7"/>
      <c r="K29" s="7"/>
      <c r="L29" s="11" t="str">
        <f>HYPERLINK("http://slimages.macys.com/is/image/MCY/18893520 ")</f>
        <v xml:space="preserve">http://slimages.macys.com/is/image/MCY/18893520 </v>
      </c>
    </row>
    <row r="30" spans="1:12" ht="39.950000000000003" customHeight="1" x14ac:dyDescent="0.25">
      <c r="A30" s="6" t="s">
        <v>1304</v>
      </c>
      <c r="B30" s="7" t="s">
        <v>1305</v>
      </c>
      <c r="C30" s="8">
        <v>1</v>
      </c>
      <c r="D30" s="9">
        <v>23.99</v>
      </c>
      <c r="E30" s="8" t="s">
        <v>1306</v>
      </c>
      <c r="F30" s="7" t="s">
        <v>1651</v>
      </c>
      <c r="G30" s="10" t="s">
        <v>1954</v>
      </c>
      <c r="H30" s="7" t="s">
        <v>1851</v>
      </c>
      <c r="I30" s="7" t="s">
        <v>1852</v>
      </c>
      <c r="J30" s="7" t="s">
        <v>1600</v>
      </c>
      <c r="K30" s="7"/>
      <c r="L30" s="11" t="str">
        <f>HYPERLINK("http://slimages.macys.com/is/image/MCY/9526176 ")</f>
        <v xml:space="preserve">http://slimages.macys.com/is/image/MCY/9526176 </v>
      </c>
    </row>
    <row r="31" spans="1:12" ht="39.950000000000003" customHeight="1" x14ac:dyDescent="0.25">
      <c r="A31" s="6" t="s">
        <v>1307</v>
      </c>
      <c r="B31" s="7" t="s">
        <v>1308</v>
      </c>
      <c r="C31" s="8">
        <v>1</v>
      </c>
      <c r="D31" s="9">
        <v>19.989999999999998</v>
      </c>
      <c r="E31" s="8" t="s">
        <v>1309</v>
      </c>
      <c r="F31" s="7" t="s">
        <v>2040</v>
      </c>
      <c r="G31" s="10" t="s">
        <v>1310</v>
      </c>
      <c r="H31" s="7" t="s">
        <v>1578</v>
      </c>
      <c r="I31" s="7" t="s">
        <v>1622</v>
      </c>
      <c r="J31" s="7" t="s">
        <v>1461</v>
      </c>
      <c r="K31" s="7" t="s">
        <v>1623</v>
      </c>
      <c r="L31" s="11" t="str">
        <f>HYPERLINK("http://slimages.macys.com/is/image/MCY/12723168 ")</f>
        <v xml:space="preserve">http://slimages.macys.com/is/image/MCY/12723168 </v>
      </c>
    </row>
    <row r="32" spans="1:12" ht="39.950000000000003" customHeight="1" x14ac:dyDescent="0.25">
      <c r="A32" s="6" t="s">
        <v>1311</v>
      </c>
      <c r="B32" s="7" t="s">
        <v>1312</v>
      </c>
      <c r="C32" s="8">
        <v>1</v>
      </c>
      <c r="D32" s="9">
        <v>29.99</v>
      </c>
      <c r="E32" s="8" t="s">
        <v>1313</v>
      </c>
      <c r="F32" s="7" t="s">
        <v>1554</v>
      </c>
      <c r="G32" s="10"/>
      <c r="H32" s="7" t="s">
        <v>1545</v>
      </c>
      <c r="I32" s="7" t="s">
        <v>1546</v>
      </c>
      <c r="J32" s="7"/>
      <c r="K32" s="7"/>
      <c r="L32" s="11" t="str">
        <f>HYPERLINK("http://slimages.macys.com/is/image/MCY/17674309 ")</f>
        <v xml:space="preserve">http://slimages.macys.com/is/image/MCY/17674309 </v>
      </c>
    </row>
    <row r="33" spans="1:12" ht="39.950000000000003" customHeight="1" x14ac:dyDescent="0.25">
      <c r="A33" s="6" t="s">
        <v>1314</v>
      </c>
      <c r="B33" s="7" t="s">
        <v>1315</v>
      </c>
      <c r="C33" s="8">
        <v>1</v>
      </c>
      <c r="D33" s="9">
        <v>16.989999999999998</v>
      </c>
      <c r="E33" s="8" t="s">
        <v>1316</v>
      </c>
      <c r="F33" s="7" t="s">
        <v>1560</v>
      </c>
      <c r="G33" s="10" t="s">
        <v>1577</v>
      </c>
      <c r="H33" s="7" t="s">
        <v>1578</v>
      </c>
      <c r="I33" s="7" t="s">
        <v>1579</v>
      </c>
      <c r="J33" s="7" t="s">
        <v>1461</v>
      </c>
      <c r="K33" s="7" t="s">
        <v>1623</v>
      </c>
      <c r="L33" s="11" t="str">
        <f>HYPERLINK("http://slimages.macys.com/is/image/MCY/12737864 ")</f>
        <v xml:space="preserve">http://slimages.macys.com/is/image/MCY/12737864 </v>
      </c>
    </row>
    <row r="34" spans="1:12" ht="39.950000000000003" customHeight="1" x14ac:dyDescent="0.25">
      <c r="A34" s="6" t="s">
        <v>1317</v>
      </c>
      <c r="B34" s="7" t="s">
        <v>1318</v>
      </c>
      <c r="C34" s="8">
        <v>1</v>
      </c>
      <c r="D34" s="9">
        <v>7.99</v>
      </c>
      <c r="E34" s="8" t="s">
        <v>1319</v>
      </c>
      <c r="F34" s="7" t="s">
        <v>1519</v>
      </c>
      <c r="G34" s="10" t="s">
        <v>1577</v>
      </c>
      <c r="H34" s="7" t="s">
        <v>1628</v>
      </c>
      <c r="I34" s="7" t="s">
        <v>1799</v>
      </c>
      <c r="J34" s="7" t="s">
        <v>1461</v>
      </c>
      <c r="K34" s="7" t="s">
        <v>1831</v>
      </c>
      <c r="L34" s="11" t="str">
        <f>HYPERLINK("http://slimages.macys.com/is/image/MCY/8402841 ")</f>
        <v xml:space="preserve">http://slimages.macys.com/is/image/MCY/8402841 </v>
      </c>
    </row>
    <row r="35" spans="1:12" ht="39.950000000000003" customHeight="1" x14ac:dyDescent="0.25">
      <c r="A35" s="6" t="s">
        <v>1320</v>
      </c>
      <c r="B35" s="7" t="s">
        <v>1321</v>
      </c>
      <c r="C35" s="8">
        <v>1</v>
      </c>
      <c r="D35" s="9">
        <v>10.99</v>
      </c>
      <c r="E35" s="8" t="s">
        <v>1322</v>
      </c>
      <c r="F35" s="7" t="s">
        <v>1762</v>
      </c>
      <c r="G35" s="10" t="s">
        <v>906</v>
      </c>
      <c r="H35" s="7" t="s">
        <v>1605</v>
      </c>
      <c r="I35" s="7" t="s">
        <v>902</v>
      </c>
      <c r="J35" s="7"/>
      <c r="K35" s="7"/>
      <c r="L35" s="11" t="str">
        <f>HYPERLINK("http://slimages.macys.com/is/image/MCY/17661786 ")</f>
        <v xml:space="preserve">http://slimages.macys.com/is/image/MCY/17661786 </v>
      </c>
    </row>
    <row r="36" spans="1:12" ht="39.950000000000003" customHeight="1" x14ac:dyDescent="0.25">
      <c r="A36" s="6" t="s">
        <v>1323</v>
      </c>
      <c r="B36" s="7" t="s">
        <v>1324</v>
      </c>
      <c r="C36" s="8">
        <v>1</v>
      </c>
      <c r="D36" s="9">
        <v>2.99</v>
      </c>
      <c r="E36" s="8" t="s">
        <v>1325</v>
      </c>
      <c r="F36" s="7" t="s">
        <v>1519</v>
      </c>
      <c r="G36" s="10" t="s">
        <v>1644</v>
      </c>
      <c r="H36" s="7" t="s">
        <v>1628</v>
      </c>
      <c r="I36" s="7" t="s">
        <v>1556</v>
      </c>
      <c r="J36" s="7" t="s">
        <v>1461</v>
      </c>
      <c r="K36" s="7"/>
      <c r="L36" s="11" t="str">
        <f>HYPERLINK("http://slimages.macys.com/is/image/MCY/13909832 ")</f>
        <v xml:space="preserve">http://slimages.macys.com/is/image/MCY/13909832 </v>
      </c>
    </row>
    <row r="37" spans="1:12" ht="39.950000000000003" customHeight="1" x14ac:dyDescent="0.25">
      <c r="A37" s="6" t="s">
        <v>1649</v>
      </c>
      <c r="B37" s="7" t="s">
        <v>1650</v>
      </c>
      <c r="C37" s="8">
        <v>7</v>
      </c>
      <c r="D37" s="9">
        <v>280</v>
      </c>
      <c r="E37" s="8"/>
      <c r="F37" s="7" t="s">
        <v>1651</v>
      </c>
      <c r="G37" s="10" t="s">
        <v>1561</v>
      </c>
      <c r="H37" s="7" t="s">
        <v>1652</v>
      </c>
      <c r="I37" s="7" t="s">
        <v>1653</v>
      </c>
      <c r="J37" s="7"/>
      <c r="K37" s="7"/>
      <c r="L37" s="11"/>
    </row>
  </sheetData>
  <phoneticPr fontId="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/>
  </sheetViews>
  <sheetFormatPr defaultRowHeight="39.950000000000003" customHeight="1" x14ac:dyDescent="0.25"/>
  <cols>
    <col min="1" max="1" width="15.140625" customWidth="1"/>
    <col min="2" max="2" width="37.42578125" customWidth="1"/>
    <col min="12" max="12" width="18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2063</v>
      </c>
      <c r="B2" s="7" t="s">
        <v>2064</v>
      </c>
      <c r="C2" s="8">
        <v>2</v>
      </c>
      <c r="D2" s="9">
        <v>679.98</v>
      </c>
      <c r="E2" s="8" t="s">
        <v>2065</v>
      </c>
      <c r="F2" s="7" t="s">
        <v>1458</v>
      </c>
      <c r="G2" s="10" t="s">
        <v>1466</v>
      </c>
      <c r="H2" s="7" t="s">
        <v>1459</v>
      </c>
      <c r="I2" s="7" t="s">
        <v>1460</v>
      </c>
      <c r="J2" s="7" t="s">
        <v>1461</v>
      </c>
      <c r="K2" s="7" t="s">
        <v>1462</v>
      </c>
      <c r="L2" s="11" t="str">
        <f>HYPERLINK("http://slimages.macys.com/is/image/MCY/3969345 ")</f>
        <v xml:space="preserve">http://slimages.macys.com/is/image/MCY/3969345 </v>
      </c>
    </row>
    <row r="3" spans="1:12" ht="39.950000000000003" customHeight="1" x14ac:dyDescent="0.25">
      <c r="A3" s="6" t="s">
        <v>1326</v>
      </c>
      <c r="B3" s="7" t="s">
        <v>1327</v>
      </c>
      <c r="C3" s="8">
        <v>1</v>
      </c>
      <c r="D3" s="9">
        <v>199.99</v>
      </c>
      <c r="E3" s="8" t="s">
        <v>1328</v>
      </c>
      <c r="F3" s="7" t="s">
        <v>1587</v>
      </c>
      <c r="G3" s="10"/>
      <c r="H3" s="7" t="s">
        <v>1467</v>
      </c>
      <c r="I3" s="7" t="s">
        <v>516</v>
      </c>
      <c r="J3" s="7" t="s">
        <v>1461</v>
      </c>
      <c r="K3" s="7" t="s">
        <v>1329</v>
      </c>
      <c r="L3" s="11" t="str">
        <f>HYPERLINK("http://slimages.macys.com/is/image/MCY/15924247 ")</f>
        <v xml:space="preserve">http://slimages.macys.com/is/image/MCY/15924247 </v>
      </c>
    </row>
    <row r="4" spans="1:12" ht="39.950000000000003" customHeight="1" x14ac:dyDescent="0.25">
      <c r="A4" s="6" t="s">
        <v>1330</v>
      </c>
      <c r="B4" s="7" t="s">
        <v>1331</v>
      </c>
      <c r="C4" s="8">
        <v>1</v>
      </c>
      <c r="D4" s="9">
        <v>149.99</v>
      </c>
      <c r="E4" s="8" t="s">
        <v>1332</v>
      </c>
      <c r="F4" s="7" t="s">
        <v>1458</v>
      </c>
      <c r="G4" s="10"/>
      <c r="H4" s="7" t="s">
        <v>1459</v>
      </c>
      <c r="I4" s="7" t="s">
        <v>1489</v>
      </c>
      <c r="J4" s="7" t="s">
        <v>1490</v>
      </c>
      <c r="K4" s="7" t="s">
        <v>1491</v>
      </c>
      <c r="L4" s="11" t="str">
        <f>HYPERLINK("http://slimages.macys.com/is/image/MCY/3962569 ")</f>
        <v xml:space="preserve">http://slimages.macys.com/is/image/MCY/3962569 </v>
      </c>
    </row>
    <row r="5" spans="1:12" ht="39.950000000000003" customHeight="1" x14ac:dyDescent="0.25">
      <c r="A5" s="6" t="s">
        <v>1333</v>
      </c>
      <c r="B5" s="7" t="s">
        <v>1334</v>
      </c>
      <c r="C5" s="8">
        <v>1</v>
      </c>
      <c r="D5" s="9">
        <v>109.99</v>
      </c>
      <c r="E5" s="8" t="s">
        <v>1335</v>
      </c>
      <c r="F5" s="7" t="s">
        <v>1458</v>
      </c>
      <c r="G5" s="10"/>
      <c r="H5" s="7" t="s">
        <v>1664</v>
      </c>
      <c r="I5" s="7" t="s">
        <v>1521</v>
      </c>
      <c r="J5" s="7" t="s">
        <v>1461</v>
      </c>
      <c r="K5" s="7" t="s">
        <v>1564</v>
      </c>
      <c r="L5" s="11" t="str">
        <f>HYPERLINK("http://slimages.macys.com/is/image/MCY/8930319 ")</f>
        <v xml:space="preserve">http://slimages.macys.com/is/image/MCY/8930319 </v>
      </c>
    </row>
    <row r="6" spans="1:12" ht="39.950000000000003" customHeight="1" x14ac:dyDescent="0.25">
      <c r="A6" s="6" t="s">
        <v>1336</v>
      </c>
      <c r="B6" s="7" t="s">
        <v>1337</v>
      </c>
      <c r="C6" s="8">
        <v>1</v>
      </c>
      <c r="D6" s="9">
        <v>79.989999999999995</v>
      </c>
      <c r="E6" s="8" t="s">
        <v>1338</v>
      </c>
      <c r="F6" s="7" t="s">
        <v>2224</v>
      </c>
      <c r="G6" s="10"/>
      <c r="H6" s="7" t="s">
        <v>918</v>
      </c>
      <c r="I6" s="7" t="s">
        <v>1339</v>
      </c>
      <c r="J6" s="7" t="s">
        <v>1461</v>
      </c>
      <c r="K6" s="7" t="s">
        <v>1527</v>
      </c>
      <c r="L6" s="11" t="str">
        <f>HYPERLINK("http://slimages.macys.com/is/image/MCY/15909835 ")</f>
        <v xml:space="preserve">http://slimages.macys.com/is/image/MCY/15909835 </v>
      </c>
    </row>
    <row r="7" spans="1:12" ht="39.950000000000003" customHeight="1" x14ac:dyDescent="0.25">
      <c r="A7" s="6" t="s">
        <v>1340</v>
      </c>
      <c r="B7" s="7" t="s">
        <v>1341</v>
      </c>
      <c r="C7" s="8">
        <v>1</v>
      </c>
      <c r="D7" s="9">
        <v>69.989999999999995</v>
      </c>
      <c r="E7" s="8" t="s">
        <v>1342</v>
      </c>
      <c r="F7" s="7" t="s">
        <v>1482</v>
      </c>
      <c r="G7" s="10"/>
      <c r="H7" s="7" t="s">
        <v>1496</v>
      </c>
      <c r="I7" s="7" t="s">
        <v>1526</v>
      </c>
      <c r="J7" s="7" t="s">
        <v>1461</v>
      </c>
      <c r="K7" s="7" t="s">
        <v>1568</v>
      </c>
      <c r="L7" s="11" t="str">
        <f>HYPERLINK("http://slimages.macys.com/is/image/MCY/11607139 ")</f>
        <v xml:space="preserve">http://slimages.macys.com/is/image/MCY/11607139 </v>
      </c>
    </row>
    <row r="8" spans="1:12" ht="39.950000000000003" customHeight="1" x14ac:dyDescent="0.25">
      <c r="A8" s="6" t="s">
        <v>1343</v>
      </c>
      <c r="B8" s="7" t="s">
        <v>1344</v>
      </c>
      <c r="C8" s="8">
        <v>1</v>
      </c>
      <c r="D8" s="9">
        <v>89.99</v>
      </c>
      <c r="E8" s="8">
        <v>10002623100</v>
      </c>
      <c r="F8" s="7" t="s">
        <v>1458</v>
      </c>
      <c r="G8" s="10"/>
      <c r="H8" s="7" t="s">
        <v>1467</v>
      </c>
      <c r="I8" s="7" t="s">
        <v>1712</v>
      </c>
      <c r="J8" s="7" t="s">
        <v>1461</v>
      </c>
      <c r="K8" s="7" t="s">
        <v>1345</v>
      </c>
      <c r="L8" s="11" t="str">
        <f>HYPERLINK("http://slimages.macys.com/is/image/MCY/9698676 ")</f>
        <v xml:space="preserve">http://slimages.macys.com/is/image/MCY/9698676 </v>
      </c>
    </row>
    <row r="9" spans="1:12" ht="39.950000000000003" customHeight="1" x14ac:dyDescent="0.25">
      <c r="A9" s="6" t="s">
        <v>1271</v>
      </c>
      <c r="B9" s="7" t="s">
        <v>1272</v>
      </c>
      <c r="C9" s="8">
        <v>1</v>
      </c>
      <c r="D9" s="9">
        <v>59.99</v>
      </c>
      <c r="E9" s="8">
        <v>21477222</v>
      </c>
      <c r="F9" s="7" t="s">
        <v>1554</v>
      </c>
      <c r="G9" s="10"/>
      <c r="H9" s="7" t="s">
        <v>1664</v>
      </c>
      <c r="I9" s="7" t="s">
        <v>1556</v>
      </c>
      <c r="J9" s="7" t="s">
        <v>1461</v>
      </c>
      <c r="K9" s="7" t="s">
        <v>1564</v>
      </c>
      <c r="L9" s="11" t="str">
        <f>HYPERLINK("http://slimages.macys.com/is/image/MCY/15396155 ")</f>
        <v xml:space="preserve">http://slimages.macys.com/is/image/MCY/15396155 </v>
      </c>
    </row>
    <row r="10" spans="1:12" ht="39.950000000000003" customHeight="1" x14ac:dyDescent="0.25">
      <c r="A10" s="6" t="s">
        <v>1346</v>
      </c>
      <c r="B10" s="7" t="s">
        <v>1347</v>
      </c>
      <c r="C10" s="8">
        <v>1</v>
      </c>
      <c r="D10" s="9">
        <v>49.99</v>
      </c>
      <c r="E10" s="8" t="s">
        <v>1348</v>
      </c>
      <c r="F10" s="7" t="s">
        <v>1597</v>
      </c>
      <c r="G10" s="10" t="s">
        <v>1941</v>
      </c>
      <c r="H10" s="7" t="s">
        <v>1506</v>
      </c>
      <c r="I10" s="7" t="s">
        <v>1521</v>
      </c>
      <c r="J10" s="7" t="s">
        <v>1461</v>
      </c>
      <c r="K10" s="7" t="s">
        <v>1349</v>
      </c>
      <c r="L10" s="11" t="str">
        <f>HYPERLINK("http://slimages.macys.com/is/image/MCY/9009150 ")</f>
        <v xml:space="preserve">http://slimages.macys.com/is/image/MCY/9009150 </v>
      </c>
    </row>
    <row r="11" spans="1:12" ht="39.950000000000003" customHeight="1" x14ac:dyDescent="0.25">
      <c r="A11" s="6" t="s">
        <v>1350</v>
      </c>
      <c r="B11" s="7" t="s">
        <v>1351</v>
      </c>
      <c r="C11" s="8">
        <v>1</v>
      </c>
      <c r="D11" s="9">
        <v>79.989999999999995</v>
      </c>
      <c r="E11" s="8" t="s">
        <v>1352</v>
      </c>
      <c r="F11" s="7" t="s">
        <v>1458</v>
      </c>
      <c r="G11" s="10"/>
      <c r="H11" s="7" t="s">
        <v>1467</v>
      </c>
      <c r="I11" s="7" t="s">
        <v>1468</v>
      </c>
      <c r="J11" s="7" t="s">
        <v>1461</v>
      </c>
      <c r="K11" s="7" t="s">
        <v>1623</v>
      </c>
      <c r="L11" s="11" t="str">
        <f>HYPERLINK("http://slimages.macys.com/is/image/MCY/16383056 ")</f>
        <v xml:space="preserve">http://slimages.macys.com/is/image/MCY/16383056 </v>
      </c>
    </row>
    <row r="12" spans="1:12" ht="39.950000000000003" customHeight="1" x14ac:dyDescent="0.25">
      <c r="A12" s="6" t="s">
        <v>1353</v>
      </c>
      <c r="B12" s="7" t="s">
        <v>1354</v>
      </c>
      <c r="C12" s="8">
        <v>1</v>
      </c>
      <c r="D12" s="9">
        <v>38.99</v>
      </c>
      <c r="E12" s="8" t="s">
        <v>1355</v>
      </c>
      <c r="F12" s="7" t="s">
        <v>1936</v>
      </c>
      <c r="G12" s="10"/>
      <c r="H12" s="7" t="s">
        <v>1520</v>
      </c>
      <c r="I12" s="7" t="s">
        <v>1521</v>
      </c>
      <c r="J12" s="7" t="s">
        <v>1461</v>
      </c>
      <c r="K12" s="7"/>
      <c r="L12" s="11" t="str">
        <f>HYPERLINK("http://slimages.macys.com/is/image/MCY/9826824 ")</f>
        <v xml:space="preserve">http://slimages.macys.com/is/image/MCY/9826824 </v>
      </c>
    </row>
    <row r="13" spans="1:12" ht="39.950000000000003" customHeight="1" x14ac:dyDescent="0.25">
      <c r="A13" s="6" t="s">
        <v>1356</v>
      </c>
      <c r="B13" s="7" t="s">
        <v>1357</v>
      </c>
      <c r="C13" s="8">
        <v>1</v>
      </c>
      <c r="D13" s="9">
        <v>34.99</v>
      </c>
      <c r="E13" s="8">
        <v>224041</v>
      </c>
      <c r="F13" s="7" t="s">
        <v>1856</v>
      </c>
      <c r="G13" s="10" t="s">
        <v>1941</v>
      </c>
      <c r="H13" s="7" t="s">
        <v>918</v>
      </c>
      <c r="I13" s="7" t="s">
        <v>1358</v>
      </c>
      <c r="J13" s="7" t="s">
        <v>1461</v>
      </c>
      <c r="K13" s="7"/>
      <c r="L13" s="11" t="str">
        <f>HYPERLINK("http://slimages.macys.com/is/image/MCY/8733172 ")</f>
        <v xml:space="preserve">http://slimages.macys.com/is/image/MCY/8733172 </v>
      </c>
    </row>
    <row r="14" spans="1:12" ht="39.950000000000003" customHeight="1" x14ac:dyDescent="0.25">
      <c r="A14" s="6" t="s">
        <v>1359</v>
      </c>
      <c r="B14" s="7" t="s">
        <v>1360</v>
      </c>
      <c r="C14" s="8">
        <v>1</v>
      </c>
      <c r="D14" s="9">
        <v>34.99</v>
      </c>
      <c r="E14" s="8" t="s">
        <v>1361</v>
      </c>
      <c r="F14" s="7" t="s">
        <v>1877</v>
      </c>
      <c r="G14" s="10"/>
      <c r="H14" s="7" t="s">
        <v>1506</v>
      </c>
      <c r="I14" s="7" t="s">
        <v>1521</v>
      </c>
      <c r="J14" s="7" t="s">
        <v>1461</v>
      </c>
      <c r="K14" s="7"/>
      <c r="L14" s="11" t="str">
        <f>HYPERLINK("http://slimages.macys.com/is/image/MCY/16421124 ")</f>
        <v xml:space="preserve">http://slimages.macys.com/is/image/MCY/16421124 </v>
      </c>
    </row>
    <row r="15" spans="1:12" ht="39.950000000000003" customHeight="1" x14ac:dyDescent="0.25">
      <c r="A15" s="6" t="s">
        <v>1362</v>
      </c>
      <c r="B15" s="7" t="s">
        <v>1363</v>
      </c>
      <c r="C15" s="8">
        <v>1</v>
      </c>
      <c r="D15" s="9">
        <v>39.99</v>
      </c>
      <c r="E15" s="8" t="s">
        <v>1364</v>
      </c>
      <c r="F15" s="7" t="s">
        <v>1531</v>
      </c>
      <c r="G15" s="10" t="s">
        <v>1592</v>
      </c>
      <c r="H15" s="7" t="s">
        <v>1506</v>
      </c>
      <c r="I15" s="7" t="s">
        <v>1593</v>
      </c>
      <c r="J15" s="7" t="s">
        <v>1490</v>
      </c>
      <c r="K15" s="7" t="s">
        <v>2406</v>
      </c>
      <c r="L15" s="11" t="str">
        <f>HYPERLINK("http://slimages.macys.com/is/image/MCY/16367057 ")</f>
        <v xml:space="preserve">http://slimages.macys.com/is/image/MCY/16367057 </v>
      </c>
    </row>
    <row r="16" spans="1:12" ht="39.950000000000003" customHeight="1" x14ac:dyDescent="0.25">
      <c r="A16" s="6" t="s">
        <v>1365</v>
      </c>
      <c r="B16" s="7" t="s">
        <v>1366</v>
      </c>
      <c r="C16" s="8">
        <v>1</v>
      </c>
      <c r="D16" s="9">
        <v>29.99</v>
      </c>
      <c r="E16" s="8" t="s">
        <v>1367</v>
      </c>
      <c r="F16" s="7" t="s">
        <v>1613</v>
      </c>
      <c r="G16" s="10"/>
      <c r="H16" s="7" t="s">
        <v>1664</v>
      </c>
      <c r="I16" s="7" t="s">
        <v>1588</v>
      </c>
      <c r="J16" s="7"/>
      <c r="K16" s="7"/>
      <c r="L16" s="11" t="str">
        <f>HYPERLINK("http://slimages.macys.com/is/image/MCY/17888299 ")</f>
        <v xml:space="preserve">http://slimages.macys.com/is/image/MCY/17888299 </v>
      </c>
    </row>
    <row r="17" spans="1:12" ht="39.950000000000003" customHeight="1" x14ac:dyDescent="0.25">
      <c r="A17" s="6" t="s">
        <v>1368</v>
      </c>
      <c r="B17" s="7" t="s">
        <v>1369</v>
      </c>
      <c r="C17" s="8">
        <v>1</v>
      </c>
      <c r="D17" s="9">
        <v>23.99</v>
      </c>
      <c r="E17" s="8" t="s">
        <v>1370</v>
      </c>
      <c r="F17" s="7" t="s">
        <v>1458</v>
      </c>
      <c r="G17" s="10"/>
      <c r="H17" s="7" t="s">
        <v>1555</v>
      </c>
      <c r="I17" s="7" t="s">
        <v>2156</v>
      </c>
      <c r="J17" s="7" t="s">
        <v>1461</v>
      </c>
      <c r="K17" s="7" t="s">
        <v>1371</v>
      </c>
      <c r="L17" s="11" t="str">
        <f>HYPERLINK("http://slimages.macys.com/is/image/MCY/13744690 ")</f>
        <v xml:space="preserve">http://slimages.macys.com/is/image/MCY/13744690 </v>
      </c>
    </row>
    <row r="18" spans="1:12" ht="39.950000000000003" customHeight="1" x14ac:dyDescent="0.25">
      <c r="A18" s="6" t="s">
        <v>1372</v>
      </c>
      <c r="B18" s="7" t="s">
        <v>1373</v>
      </c>
      <c r="C18" s="8">
        <v>1</v>
      </c>
      <c r="D18" s="9">
        <v>34.99</v>
      </c>
      <c r="E18" s="8" t="s">
        <v>1374</v>
      </c>
      <c r="F18" s="7" t="s">
        <v>1505</v>
      </c>
      <c r="G18" s="10"/>
      <c r="H18" s="7" t="s">
        <v>1520</v>
      </c>
      <c r="I18" s="7" t="s">
        <v>2144</v>
      </c>
      <c r="J18" s="7" t="s">
        <v>1461</v>
      </c>
      <c r="K18" s="7" t="s">
        <v>1375</v>
      </c>
      <c r="L18" s="11" t="str">
        <f>HYPERLINK("http://slimages.macys.com/is/image/MCY/3769061 ")</f>
        <v xml:space="preserve">http://slimages.macys.com/is/image/MCY/3769061 </v>
      </c>
    </row>
    <row r="19" spans="1:12" ht="39.950000000000003" customHeight="1" x14ac:dyDescent="0.25">
      <c r="A19" s="6" t="s">
        <v>1376</v>
      </c>
      <c r="B19" s="7" t="s">
        <v>1377</v>
      </c>
      <c r="C19" s="8">
        <v>1</v>
      </c>
      <c r="D19" s="9">
        <v>15.99</v>
      </c>
      <c r="E19" s="8">
        <v>57784</v>
      </c>
      <c r="F19" s="7" t="s">
        <v>2187</v>
      </c>
      <c r="G19" s="10"/>
      <c r="H19" s="7" t="s">
        <v>1506</v>
      </c>
      <c r="I19" s="7" t="s">
        <v>1583</v>
      </c>
      <c r="J19" s="7" t="s">
        <v>1461</v>
      </c>
      <c r="K19" s="7" t="s">
        <v>1564</v>
      </c>
      <c r="L19" s="11" t="str">
        <f>HYPERLINK("http://slimages.macys.com/is/image/MCY/9590340 ")</f>
        <v xml:space="preserve">http://slimages.macys.com/is/image/MCY/9590340 </v>
      </c>
    </row>
    <row r="20" spans="1:12" ht="39.950000000000003" customHeight="1" x14ac:dyDescent="0.25">
      <c r="A20" s="6" t="s">
        <v>1378</v>
      </c>
      <c r="B20" s="7" t="s">
        <v>1379</v>
      </c>
      <c r="C20" s="8">
        <v>1</v>
      </c>
      <c r="D20" s="9">
        <v>14.99</v>
      </c>
      <c r="E20" s="8" t="s">
        <v>1616</v>
      </c>
      <c r="F20" s="7" t="s">
        <v>1856</v>
      </c>
      <c r="G20" s="10" t="s">
        <v>1577</v>
      </c>
      <c r="H20" s="7" t="s">
        <v>1578</v>
      </c>
      <c r="I20" s="7" t="s">
        <v>1617</v>
      </c>
      <c r="J20" s="7" t="s">
        <v>1461</v>
      </c>
      <c r="K20" s="7" t="s">
        <v>1618</v>
      </c>
      <c r="L20" s="11" t="str">
        <f>HYPERLINK("http://slimages.macys.com/is/image/MCY/11946722 ")</f>
        <v xml:space="preserve">http://slimages.macys.com/is/image/MCY/11946722 </v>
      </c>
    </row>
    <row r="21" spans="1:12" ht="39.950000000000003" customHeight="1" x14ac:dyDescent="0.25">
      <c r="A21" s="6" t="s">
        <v>1380</v>
      </c>
      <c r="B21" s="7" t="s">
        <v>1381</v>
      </c>
      <c r="C21" s="8">
        <v>2</v>
      </c>
      <c r="D21" s="9">
        <v>19.98</v>
      </c>
      <c r="E21" s="8" t="s">
        <v>1382</v>
      </c>
      <c r="F21" s="7" t="s">
        <v>1458</v>
      </c>
      <c r="G21" s="10" t="s">
        <v>1577</v>
      </c>
      <c r="H21" s="7" t="s">
        <v>1578</v>
      </c>
      <c r="I21" s="7" t="s">
        <v>1622</v>
      </c>
      <c r="J21" s="7" t="s">
        <v>1461</v>
      </c>
      <c r="K21" s="7" t="s">
        <v>1623</v>
      </c>
      <c r="L21" s="11" t="str">
        <f>HYPERLINK("http://slimages.macys.com/is/image/MCY/12723168 ")</f>
        <v xml:space="preserve">http://slimages.macys.com/is/image/MCY/12723168 </v>
      </c>
    </row>
    <row r="22" spans="1:12" ht="39.950000000000003" customHeight="1" x14ac:dyDescent="0.25">
      <c r="A22" s="6" t="s">
        <v>1383</v>
      </c>
      <c r="B22" s="7" t="s">
        <v>1384</v>
      </c>
      <c r="C22" s="8">
        <v>1</v>
      </c>
      <c r="D22" s="9">
        <v>12.99</v>
      </c>
      <c r="E22" s="8" t="s">
        <v>1385</v>
      </c>
      <c r="F22" s="7" t="s">
        <v>1458</v>
      </c>
      <c r="G22" s="10" t="s">
        <v>1386</v>
      </c>
      <c r="H22" s="7" t="s">
        <v>1628</v>
      </c>
      <c r="I22" s="7" t="s">
        <v>591</v>
      </c>
      <c r="J22" s="7" t="s">
        <v>1461</v>
      </c>
      <c r="K22" s="7" t="s">
        <v>1387</v>
      </c>
      <c r="L22" s="11" t="str">
        <f>HYPERLINK("http://slimages.macys.com/is/image/MCY/15171245 ")</f>
        <v xml:space="preserve">http://slimages.macys.com/is/image/MCY/15171245 </v>
      </c>
    </row>
    <row r="23" spans="1:12" ht="39.950000000000003" customHeight="1" x14ac:dyDescent="0.25">
      <c r="A23" s="6" t="s">
        <v>1649</v>
      </c>
      <c r="B23" s="7" t="s">
        <v>1650</v>
      </c>
      <c r="C23" s="8">
        <v>11</v>
      </c>
      <c r="D23" s="9">
        <v>440</v>
      </c>
      <c r="E23" s="8"/>
      <c r="F23" s="7" t="s">
        <v>1651</v>
      </c>
      <c r="G23" s="10" t="s">
        <v>1561</v>
      </c>
      <c r="H23" s="7" t="s">
        <v>1652</v>
      </c>
      <c r="I23" s="7" t="s">
        <v>1653</v>
      </c>
      <c r="J23" s="7"/>
      <c r="K23" s="7"/>
      <c r="L23" s="11"/>
    </row>
    <row r="24" spans="1:12" ht="39.950000000000003" customHeight="1" x14ac:dyDescent="0.25">
      <c r="A24" s="6"/>
      <c r="B24" s="7"/>
      <c r="C24" s="8"/>
      <c r="D24" s="9"/>
      <c r="E24" s="8"/>
      <c r="F24" s="7"/>
      <c r="G24" s="10"/>
      <c r="H24" s="7"/>
      <c r="I24" s="7"/>
      <c r="J24" s="7"/>
      <c r="K24" s="7"/>
      <c r="L24" s="11"/>
    </row>
    <row r="25" spans="1:12" ht="39.950000000000003" customHeight="1" x14ac:dyDescent="0.25">
      <c r="A25" s="6"/>
      <c r="B25" s="7"/>
      <c r="C25" s="8"/>
      <c r="D25" s="9"/>
      <c r="E25" s="8"/>
      <c r="F25" s="7"/>
      <c r="G25" s="10"/>
      <c r="H25" s="7"/>
      <c r="I25" s="7"/>
      <c r="J25" s="7"/>
      <c r="K25" s="7"/>
      <c r="L25" s="11"/>
    </row>
    <row r="26" spans="1:12" ht="39.950000000000003" customHeight="1" x14ac:dyDescent="0.25">
      <c r="A26" s="6"/>
      <c r="B26" s="7"/>
      <c r="C26" s="8"/>
      <c r="D26" s="9"/>
      <c r="E26" s="8"/>
      <c r="F26" s="7"/>
      <c r="G26" s="10"/>
      <c r="H26" s="7"/>
      <c r="I26" s="7"/>
      <c r="J26" s="7"/>
      <c r="K26" s="7"/>
      <c r="L26" s="11"/>
    </row>
    <row r="27" spans="1:12" ht="39.950000000000003" customHeight="1" x14ac:dyDescent="0.25">
      <c r="A27" s="6"/>
      <c r="B27" s="7"/>
      <c r="C27" s="8"/>
      <c r="D27" s="9"/>
      <c r="E27" s="8"/>
      <c r="F27" s="7"/>
      <c r="G27" s="10"/>
      <c r="H27" s="7"/>
      <c r="I27" s="7"/>
      <c r="J27" s="7"/>
      <c r="K27" s="7"/>
      <c r="L27" s="11"/>
    </row>
    <row r="28" spans="1:12" ht="39.950000000000003" customHeight="1" x14ac:dyDescent="0.25">
      <c r="A28" s="6"/>
      <c r="B28" s="7"/>
      <c r="C28" s="8"/>
      <c r="D28" s="9"/>
      <c r="E28" s="8"/>
      <c r="F28" s="7"/>
      <c r="G28" s="10"/>
      <c r="H28" s="7"/>
      <c r="I28" s="7"/>
      <c r="J28" s="7"/>
      <c r="K28" s="7"/>
      <c r="L28" s="11"/>
    </row>
    <row r="29" spans="1:12" ht="39.950000000000003" customHeight="1" x14ac:dyDescent="0.25">
      <c r="A29" s="6"/>
      <c r="B29" s="7"/>
      <c r="C29" s="8"/>
      <c r="D29" s="9"/>
      <c r="E29" s="8"/>
      <c r="F29" s="7"/>
      <c r="G29" s="10"/>
      <c r="H29" s="7"/>
      <c r="I29" s="7"/>
      <c r="J29" s="7"/>
      <c r="K29" s="7"/>
      <c r="L29" s="11"/>
    </row>
    <row r="30" spans="1:12" ht="39.950000000000003" customHeight="1" x14ac:dyDescent="0.25">
      <c r="A30" s="6"/>
      <c r="B30" s="7"/>
      <c r="C30" s="8"/>
      <c r="D30" s="9"/>
      <c r="E30" s="8"/>
      <c r="F30" s="7"/>
      <c r="G30" s="10"/>
      <c r="H30" s="7"/>
      <c r="I30" s="7"/>
      <c r="J30" s="7"/>
      <c r="K30" s="7"/>
      <c r="L30" s="11"/>
    </row>
    <row r="31" spans="1:12" ht="39.950000000000003" customHeight="1" x14ac:dyDescent="0.25">
      <c r="A31" s="6"/>
      <c r="B31" s="7"/>
      <c r="C31" s="8"/>
      <c r="D31" s="9"/>
      <c r="E31" s="8"/>
      <c r="F31" s="7"/>
      <c r="G31" s="10"/>
      <c r="H31" s="7"/>
      <c r="I31" s="7"/>
      <c r="J31" s="7"/>
      <c r="K31" s="7"/>
      <c r="L31" s="11"/>
    </row>
    <row r="32" spans="1:12" ht="39.950000000000003" customHeight="1" x14ac:dyDescent="0.25">
      <c r="A32" s="6"/>
      <c r="B32" s="7"/>
      <c r="C32" s="8"/>
      <c r="D32" s="9"/>
      <c r="E32" s="8"/>
      <c r="F32" s="7"/>
      <c r="G32" s="10"/>
      <c r="H32" s="7"/>
      <c r="I32" s="7"/>
      <c r="J32" s="7"/>
      <c r="K32" s="7"/>
      <c r="L32" s="11"/>
    </row>
    <row r="33" spans="1:12" ht="39.950000000000003" customHeight="1" x14ac:dyDescent="0.25">
      <c r="A33" s="6"/>
      <c r="B33" s="7"/>
      <c r="C33" s="8"/>
      <c r="D33" s="9"/>
      <c r="E33" s="8"/>
      <c r="F33" s="7"/>
      <c r="G33" s="10"/>
      <c r="H33" s="7"/>
      <c r="I33" s="7"/>
      <c r="J33" s="7"/>
      <c r="K33" s="7"/>
      <c r="L33" s="11"/>
    </row>
    <row r="34" spans="1:12" ht="39.950000000000003" customHeight="1" x14ac:dyDescent="0.25">
      <c r="A34" s="6"/>
      <c r="B34" s="7"/>
      <c r="C34" s="8"/>
      <c r="D34" s="9"/>
      <c r="E34" s="8"/>
      <c r="F34" s="7"/>
      <c r="G34" s="10"/>
      <c r="H34" s="7"/>
      <c r="I34" s="7"/>
      <c r="J34" s="7"/>
      <c r="K34" s="7"/>
      <c r="L34" s="11"/>
    </row>
    <row r="35" spans="1:12" ht="39.950000000000003" customHeight="1" x14ac:dyDescent="0.25">
      <c r="A35" s="6"/>
      <c r="B35" s="7"/>
      <c r="C35" s="8"/>
      <c r="D35" s="9"/>
      <c r="E35" s="8"/>
      <c r="F35" s="7"/>
      <c r="G35" s="10"/>
      <c r="H35" s="7"/>
      <c r="I35" s="7"/>
      <c r="J35" s="7"/>
      <c r="K35" s="7"/>
      <c r="L35" s="11"/>
    </row>
    <row r="36" spans="1:12" ht="39.950000000000003" customHeight="1" x14ac:dyDescent="0.25">
      <c r="A36" s="6"/>
      <c r="B36" s="7"/>
      <c r="C36" s="8"/>
      <c r="D36" s="9"/>
      <c r="E36" s="8"/>
      <c r="F36" s="7"/>
      <c r="G36" s="10"/>
      <c r="H36" s="7"/>
      <c r="I36" s="7"/>
      <c r="J36" s="7"/>
      <c r="K36" s="7"/>
      <c r="L36" s="11"/>
    </row>
    <row r="37" spans="1:12" ht="39.950000000000003" customHeight="1" x14ac:dyDescent="0.25">
      <c r="A37" s="6"/>
      <c r="B37" s="7"/>
      <c r="C37" s="8"/>
      <c r="D37" s="9"/>
      <c r="E37" s="8"/>
      <c r="F37" s="7"/>
      <c r="G37" s="10"/>
      <c r="H37" s="7"/>
      <c r="I37" s="7"/>
      <c r="J37" s="7"/>
      <c r="K37" s="7"/>
      <c r="L37" s="11"/>
    </row>
    <row r="38" spans="1:12" ht="39.950000000000003" customHeight="1" x14ac:dyDescent="0.25">
      <c r="A38" s="6"/>
      <c r="B38" s="7"/>
      <c r="C38" s="8"/>
      <c r="D38" s="9"/>
      <c r="E38" s="8"/>
      <c r="F38" s="7"/>
      <c r="G38" s="10"/>
      <c r="H38" s="7"/>
      <c r="I38" s="7"/>
      <c r="J38" s="7"/>
      <c r="K38" s="7"/>
      <c r="L38" s="11"/>
    </row>
  </sheetData>
  <phoneticPr fontId="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2" sqref="B2"/>
    </sheetView>
  </sheetViews>
  <sheetFormatPr defaultRowHeight="39.950000000000003" customHeight="1" x14ac:dyDescent="0.25"/>
  <cols>
    <col min="1" max="1" width="9" bestFit="1" customWidth="1"/>
    <col min="2" max="2" width="25.28515625" bestFit="1" customWidth="1"/>
    <col min="3" max="3" width="8.7109375" bestFit="1" customWidth="1"/>
    <col min="4" max="4" width="9.28515625" bestFit="1" customWidth="1"/>
    <col min="6" max="6" width="8.85546875" bestFit="1" customWidth="1"/>
    <col min="8" max="8" width="9" bestFit="1" customWidth="1"/>
    <col min="9" max="9" width="16.5703125" bestFit="1" customWidth="1"/>
    <col min="10" max="10" width="9.85546875" bestFit="1" customWidth="1"/>
    <col min="11" max="11" width="57.7109375" bestFit="1" customWidth="1"/>
    <col min="12" max="12" width="14.85546875" bestFit="1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1388</v>
      </c>
      <c r="B2" s="7" t="s">
        <v>1389</v>
      </c>
      <c r="C2" s="8">
        <v>1</v>
      </c>
      <c r="D2" s="9">
        <v>299.99</v>
      </c>
      <c r="E2" s="8" t="s">
        <v>1390</v>
      </c>
      <c r="F2" s="7" t="s">
        <v>1877</v>
      </c>
      <c r="G2" s="10"/>
      <c r="H2" s="7" t="s">
        <v>1764</v>
      </c>
      <c r="I2" s="7" t="s">
        <v>1884</v>
      </c>
      <c r="J2" s="7" t="s">
        <v>1461</v>
      </c>
      <c r="K2" s="7" t="s">
        <v>1729</v>
      </c>
      <c r="L2" s="11" t="str">
        <f>HYPERLINK("http://slimages.macys.com/is/image/MCY/12936984 ")</f>
        <v xml:space="preserve">http://slimages.macys.com/is/image/MCY/12936984 </v>
      </c>
    </row>
    <row r="3" spans="1:12" ht="39.950000000000003" customHeight="1" x14ac:dyDescent="0.25">
      <c r="A3" s="6" t="s">
        <v>1391</v>
      </c>
      <c r="B3" s="7" t="s">
        <v>1392</v>
      </c>
      <c r="C3" s="8">
        <v>1</v>
      </c>
      <c r="D3" s="9">
        <v>159.99</v>
      </c>
      <c r="E3" s="8" t="s">
        <v>1393</v>
      </c>
      <c r="F3" s="7" t="s">
        <v>1587</v>
      </c>
      <c r="G3" s="10"/>
      <c r="H3" s="7" t="s">
        <v>1483</v>
      </c>
      <c r="I3" s="7" t="s">
        <v>1501</v>
      </c>
      <c r="J3" s="7" t="s">
        <v>1461</v>
      </c>
      <c r="K3" s="7"/>
      <c r="L3" s="11" t="str">
        <f>HYPERLINK("http://slimages.macys.com/is/image/MCY/8419272 ")</f>
        <v xml:space="preserve">http://slimages.macys.com/is/image/MCY/8419272 </v>
      </c>
    </row>
    <row r="4" spans="1:12" ht="39.950000000000003" customHeight="1" x14ac:dyDescent="0.25">
      <c r="A4" s="6" t="s">
        <v>1394</v>
      </c>
      <c r="B4" s="7" t="s">
        <v>1395</v>
      </c>
      <c r="C4" s="8">
        <v>1</v>
      </c>
      <c r="D4" s="9">
        <v>169.99</v>
      </c>
      <c r="E4" s="8" t="s">
        <v>1396</v>
      </c>
      <c r="F4" s="7" t="s">
        <v>1745</v>
      </c>
      <c r="G4" s="10"/>
      <c r="H4" s="7" t="s">
        <v>1664</v>
      </c>
      <c r="I4" s="7" t="s">
        <v>1521</v>
      </c>
      <c r="J4" s="7" t="s">
        <v>1461</v>
      </c>
      <c r="K4" s="7" t="s">
        <v>1397</v>
      </c>
      <c r="L4" s="11" t="str">
        <f>HYPERLINK("http://slimages.macys.com/is/image/MCY/9627841 ")</f>
        <v xml:space="preserve">http://slimages.macys.com/is/image/MCY/9627841 </v>
      </c>
    </row>
    <row r="5" spans="1:12" ht="39.950000000000003" customHeight="1" x14ac:dyDescent="0.25">
      <c r="A5" s="6" t="s">
        <v>1901</v>
      </c>
      <c r="B5" s="7" t="s">
        <v>1902</v>
      </c>
      <c r="C5" s="8">
        <v>1</v>
      </c>
      <c r="D5" s="9">
        <v>199.99</v>
      </c>
      <c r="E5" s="8" t="s">
        <v>1903</v>
      </c>
      <c r="F5" s="7" t="s">
        <v>1519</v>
      </c>
      <c r="G5" s="10" t="s">
        <v>1466</v>
      </c>
      <c r="H5" s="7" t="s">
        <v>1550</v>
      </c>
      <c r="I5" s="7" t="s">
        <v>1617</v>
      </c>
      <c r="J5" s="7" t="s">
        <v>1461</v>
      </c>
      <c r="K5" s="7" t="s">
        <v>1904</v>
      </c>
      <c r="L5" s="11" t="str">
        <f>HYPERLINK("http://slimages.macys.com/is/image/MCY/10264817 ")</f>
        <v xml:space="preserve">http://slimages.macys.com/is/image/MCY/10264817 </v>
      </c>
    </row>
    <row r="6" spans="1:12" ht="39.950000000000003" customHeight="1" x14ac:dyDescent="0.25">
      <c r="A6" s="6" t="s">
        <v>1398</v>
      </c>
      <c r="B6" s="7" t="s">
        <v>1399</v>
      </c>
      <c r="C6" s="8">
        <v>1</v>
      </c>
      <c r="D6" s="9">
        <v>139.99</v>
      </c>
      <c r="E6" s="8" t="s">
        <v>1400</v>
      </c>
      <c r="F6" s="7" t="s">
        <v>1458</v>
      </c>
      <c r="G6" s="10"/>
      <c r="H6" s="7" t="s">
        <v>1692</v>
      </c>
      <c r="I6" s="7" t="s">
        <v>1401</v>
      </c>
      <c r="J6" s="7"/>
      <c r="K6" s="7"/>
      <c r="L6" s="11" t="str">
        <f>HYPERLINK("http://slimages.macys.com/is/image/MCY/17546183 ")</f>
        <v xml:space="preserve">http://slimages.macys.com/is/image/MCY/17546183 </v>
      </c>
    </row>
    <row r="7" spans="1:12" ht="39.950000000000003" customHeight="1" x14ac:dyDescent="0.25">
      <c r="A7" s="6" t="s">
        <v>1402</v>
      </c>
      <c r="B7" s="7" t="s">
        <v>1403</v>
      </c>
      <c r="C7" s="8">
        <v>1</v>
      </c>
      <c r="D7" s="9">
        <v>119.99</v>
      </c>
      <c r="E7" s="8" t="s">
        <v>1404</v>
      </c>
      <c r="F7" s="7" t="s">
        <v>1544</v>
      </c>
      <c r="G7" s="10"/>
      <c r="H7" s="7" t="s">
        <v>1496</v>
      </c>
      <c r="I7" s="7" t="s">
        <v>1497</v>
      </c>
      <c r="J7" s="7" t="s">
        <v>1461</v>
      </c>
      <c r="K7" s="7"/>
      <c r="L7" s="11" t="str">
        <f>HYPERLINK("http://slimages.macys.com/is/image/MCY/8813910 ")</f>
        <v xml:space="preserve">http://slimages.macys.com/is/image/MCY/8813910 </v>
      </c>
    </row>
    <row r="8" spans="1:12" ht="39.950000000000003" customHeight="1" x14ac:dyDescent="0.25">
      <c r="A8" s="6" t="s">
        <v>1405</v>
      </c>
      <c r="B8" s="7" t="s">
        <v>1406</v>
      </c>
      <c r="C8" s="8">
        <v>1</v>
      </c>
      <c r="D8" s="9">
        <v>129.99</v>
      </c>
      <c r="E8" s="8" t="s">
        <v>1407</v>
      </c>
      <c r="F8" s="7" t="s">
        <v>1560</v>
      </c>
      <c r="G8" s="10"/>
      <c r="H8" s="7" t="s">
        <v>1545</v>
      </c>
      <c r="I8" s="7" t="s">
        <v>1546</v>
      </c>
      <c r="J8" s="7" t="s">
        <v>1461</v>
      </c>
      <c r="K8" s="7"/>
      <c r="L8" s="11" t="str">
        <f>HYPERLINK("http://slimages.macys.com/is/image/MCY/16093917 ")</f>
        <v xml:space="preserve">http://slimages.macys.com/is/image/MCY/16093917 </v>
      </c>
    </row>
    <row r="9" spans="1:12" ht="39.950000000000003" customHeight="1" x14ac:dyDescent="0.25">
      <c r="A9" s="6" t="s">
        <v>1408</v>
      </c>
      <c r="B9" s="7" t="s">
        <v>1409</v>
      </c>
      <c r="C9" s="8">
        <v>1</v>
      </c>
      <c r="D9" s="9">
        <v>119.99</v>
      </c>
      <c r="E9" s="8" t="s">
        <v>1410</v>
      </c>
      <c r="F9" s="7" t="s">
        <v>1458</v>
      </c>
      <c r="G9" s="10"/>
      <c r="H9" s="7" t="s">
        <v>1496</v>
      </c>
      <c r="I9" s="7" t="s">
        <v>1526</v>
      </c>
      <c r="J9" s="7" t="s">
        <v>1461</v>
      </c>
      <c r="K9" s="7" t="s">
        <v>1618</v>
      </c>
      <c r="L9" s="11" t="str">
        <f>HYPERLINK("http://slimages.macys.com/is/image/MCY/11607139 ")</f>
        <v xml:space="preserve">http://slimages.macys.com/is/image/MCY/11607139 </v>
      </c>
    </row>
    <row r="10" spans="1:12" ht="39.950000000000003" customHeight="1" x14ac:dyDescent="0.25">
      <c r="A10" s="6" t="s">
        <v>1411</v>
      </c>
      <c r="B10" s="7" t="s">
        <v>1412</v>
      </c>
      <c r="C10" s="8">
        <v>1</v>
      </c>
      <c r="D10" s="9">
        <v>99.99</v>
      </c>
      <c r="E10" s="8">
        <v>22337322</v>
      </c>
      <c r="F10" s="7" t="s">
        <v>598</v>
      </c>
      <c r="G10" s="10"/>
      <c r="H10" s="7" t="s">
        <v>1664</v>
      </c>
      <c r="I10" s="7" t="s">
        <v>1556</v>
      </c>
      <c r="J10" s="7"/>
      <c r="K10" s="7"/>
      <c r="L10" s="11" t="str">
        <f>HYPERLINK("http://slimages.macys.com/is/image/MCY/17815183 ")</f>
        <v xml:space="preserve">http://slimages.macys.com/is/image/MCY/17815183 </v>
      </c>
    </row>
    <row r="11" spans="1:12" ht="39.950000000000003" customHeight="1" x14ac:dyDescent="0.25">
      <c r="A11" s="6" t="s">
        <v>1413</v>
      </c>
      <c r="B11" s="7" t="s">
        <v>1414</v>
      </c>
      <c r="C11" s="8">
        <v>1</v>
      </c>
      <c r="D11" s="9">
        <v>99.99</v>
      </c>
      <c r="E11" s="8" t="s">
        <v>1415</v>
      </c>
      <c r="F11" s="7" t="s">
        <v>1519</v>
      </c>
      <c r="G11" s="10"/>
      <c r="H11" s="7" t="s">
        <v>1550</v>
      </c>
      <c r="I11" s="7" t="s">
        <v>1790</v>
      </c>
      <c r="J11" s="7" t="s">
        <v>1461</v>
      </c>
      <c r="K11" s="7"/>
      <c r="L11" s="11" t="str">
        <f>HYPERLINK("http://slimages.macys.com/is/image/MCY/10656684 ")</f>
        <v xml:space="preserve">http://slimages.macys.com/is/image/MCY/10656684 </v>
      </c>
    </row>
    <row r="12" spans="1:12" ht="39.950000000000003" customHeight="1" x14ac:dyDescent="0.25">
      <c r="A12" s="6" t="s">
        <v>1416</v>
      </c>
      <c r="B12" s="7" t="s">
        <v>1417</v>
      </c>
      <c r="C12" s="8">
        <v>1</v>
      </c>
      <c r="D12" s="9">
        <v>99.99</v>
      </c>
      <c r="E12" s="8" t="s">
        <v>1418</v>
      </c>
      <c r="F12" s="7" t="s">
        <v>2044</v>
      </c>
      <c r="G12" s="10"/>
      <c r="H12" s="7" t="s">
        <v>1496</v>
      </c>
      <c r="I12" s="7" t="s">
        <v>1526</v>
      </c>
      <c r="J12" s="7" t="s">
        <v>1461</v>
      </c>
      <c r="K12" s="7" t="s">
        <v>1568</v>
      </c>
      <c r="L12" s="11" t="str">
        <f>HYPERLINK("http://slimages.macys.com/is/image/MCY/11607139 ")</f>
        <v xml:space="preserve">http://slimages.macys.com/is/image/MCY/11607139 </v>
      </c>
    </row>
    <row r="13" spans="1:12" ht="39.950000000000003" customHeight="1" x14ac:dyDescent="0.25">
      <c r="A13" s="6" t="s">
        <v>1419</v>
      </c>
      <c r="B13" s="7" t="s">
        <v>1420</v>
      </c>
      <c r="C13" s="8">
        <v>1</v>
      </c>
      <c r="D13" s="9">
        <v>79.989999999999995</v>
      </c>
      <c r="E13" s="8" t="s">
        <v>1421</v>
      </c>
      <c r="F13" s="7" t="s">
        <v>1637</v>
      </c>
      <c r="G13" s="10"/>
      <c r="H13" s="7" t="s">
        <v>1764</v>
      </c>
      <c r="I13" s="7" t="s">
        <v>1884</v>
      </c>
      <c r="J13" s="7"/>
      <c r="K13" s="7"/>
      <c r="L13" s="11" t="str">
        <f>HYPERLINK("http://slimages.macys.com/is/image/MCY/18436817 ")</f>
        <v xml:space="preserve">http://slimages.macys.com/is/image/MCY/18436817 </v>
      </c>
    </row>
    <row r="14" spans="1:12" ht="39.950000000000003" customHeight="1" x14ac:dyDescent="0.25">
      <c r="A14" s="6" t="s">
        <v>1422</v>
      </c>
      <c r="B14" s="7" t="s">
        <v>1423</v>
      </c>
      <c r="C14" s="8">
        <v>1</v>
      </c>
      <c r="D14" s="9">
        <v>79.989999999999995</v>
      </c>
      <c r="E14" s="8">
        <v>32311</v>
      </c>
      <c r="F14" s="7" t="s">
        <v>1458</v>
      </c>
      <c r="G14" s="10"/>
      <c r="H14" s="7" t="s">
        <v>1692</v>
      </c>
      <c r="I14" s="7" t="s">
        <v>1969</v>
      </c>
      <c r="J14" s="7"/>
      <c r="K14" s="7"/>
      <c r="L14" s="11" t="str">
        <f>HYPERLINK("http://slimages.macys.com/is/image/MCY/16708744 ")</f>
        <v xml:space="preserve">http://slimages.macys.com/is/image/MCY/16708744 </v>
      </c>
    </row>
    <row r="15" spans="1:12" ht="39.950000000000003" customHeight="1" x14ac:dyDescent="0.25">
      <c r="A15" s="6" t="s">
        <v>1424</v>
      </c>
      <c r="B15" s="7" t="s">
        <v>1425</v>
      </c>
      <c r="C15" s="8">
        <v>1</v>
      </c>
      <c r="D15" s="9">
        <v>54.99</v>
      </c>
      <c r="E15" s="8" t="s">
        <v>1426</v>
      </c>
      <c r="F15" s="7" t="s">
        <v>1877</v>
      </c>
      <c r="G15" s="10"/>
      <c r="H15" s="7" t="s">
        <v>1520</v>
      </c>
      <c r="I15" s="7" t="s">
        <v>1733</v>
      </c>
      <c r="J15" s="7" t="s">
        <v>1461</v>
      </c>
      <c r="K15" s="7" t="s">
        <v>1623</v>
      </c>
      <c r="L15" s="11" t="str">
        <f>HYPERLINK("http://slimages.macys.com/is/image/MCY/9828548 ")</f>
        <v xml:space="preserve">http://slimages.macys.com/is/image/MCY/9828548 </v>
      </c>
    </row>
    <row r="16" spans="1:12" ht="39.950000000000003" customHeight="1" x14ac:dyDescent="0.25">
      <c r="A16" s="6" t="s">
        <v>1427</v>
      </c>
      <c r="B16" s="7" t="s">
        <v>1428</v>
      </c>
      <c r="C16" s="8">
        <v>1</v>
      </c>
      <c r="D16" s="9">
        <v>39.99</v>
      </c>
      <c r="E16" s="8" t="s">
        <v>1429</v>
      </c>
      <c r="F16" s="7" t="s">
        <v>1587</v>
      </c>
      <c r="G16" s="10" t="s">
        <v>775</v>
      </c>
      <c r="H16" s="7" t="s">
        <v>1483</v>
      </c>
      <c r="I16" s="7" t="s">
        <v>1501</v>
      </c>
      <c r="J16" s="7" t="s">
        <v>1461</v>
      </c>
      <c r="K16" s="7"/>
      <c r="L16" s="11" t="str">
        <f>HYPERLINK("http://slimages.macys.com/is/image/MCY/9064568 ")</f>
        <v xml:space="preserve">http://slimages.macys.com/is/image/MCY/9064568 </v>
      </c>
    </row>
    <row r="17" spans="1:12" ht="39.950000000000003" customHeight="1" x14ac:dyDescent="0.25">
      <c r="A17" s="6" t="s">
        <v>1430</v>
      </c>
      <c r="B17" s="7" t="s">
        <v>1431</v>
      </c>
      <c r="C17" s="8">
        <v>1</v>
      </c>
      <c r="D17" s="9">
        <v>49.99</v>
      </c>
      <c r="E17" s="8">
        <v>20553422</v>
      </c>
      <c r="F17" s="7"/>
      <c r="G17" s="10"/>
      <c r="H17" s="7" t="s">
        <v>1664</v>
      </c>
      <c r="I17" s="7" t="s">
        <v>1556</v>
      </c>
      <c r="J17" s="7" t="s">
        <v>1600</v>
      </c>
      <c r="K17" s="7" t="s">
        <v>1716</v>
      </c>
      <c r="L17" s="11" t="str">
        <f>HYPERLINK("http://slimages.macys.com/is/image/MCY/11707586 ")</f>
        <v xml:space="preserve">http://slimages.macys.com/is/image/MCY/11707586 </v>
      </c>
    </row>
    <row r="18" spans="1:12" ht="39.950000000000003" customHeight="1" x14ac:dyDescent="0.25">
      <c r="A18" s="6" t="s">
        <v>1104</v>
      </c>
      <c r="B18" s="7" t="s">
        <v>1105</v>
      </c>
      <c r="C18" s="8">
        <v>1</v>
      </c>
      <c r="D18" s="9">
        <v>49.99</v>
      </c>
      <c r="E18" s="8" t="s">
        <v>1106</v>
      </c>
      <c r="F18" s="7" t="s">
        <v>1597</v>
      </c>
      <c r="G18" s="10"/>
      <c r="H18" s="7" t="s">
        <v>1664</v>
      </c>
      <c r="I18" s="7" t="s">
        <v>1556</v>
      </c>
      <c r="J18" s="7" t="s">
        <v>1461</v>
      </c>
      <c r="K18" s="7" t="s">
        <v>1564</v>
      </c>
      <c r="L18" s="11" t="str">
        <f>HYPERLINK("http://slimages.macys.com/is/image/MCY/8347198 ")</f>
        <v xml:space="preserve">http://slimages.macys.com/is/image/MCY/8347198 </v>
      </c>
    </row>
    <row r="19" spans="1:12" ht="39.950000000000003" customHeight="1" x14ac:dyDescent="0.25">
      <c r="A19" s="6" t="s">
        <v>1432</v>
      </c>
      <c r="B19" s="7" t="s">
        <v>1433</v>
      </c>
      <c r="C19" s="8">
        <v>1</v>
      </c>
      <c r="D19" s="9">
        <v>37.99</v>
      </c>
      <c r="E19" s="8">
        <v>53307</v>
      </c>
      <c r="F19" s="7" t="s">
        <v>1821</v>
      </c>
      <c r="G19" s="10"/>
      <c r="H19" s="7" t="s">
        <v>1506</v>
      </c>
      <c r="I19" s="7" t="s">
        <v>1583</v>
      </c>
      <c r="J19" s="7" t="s">
        <v>1461</v>
      </c>
      <c r="K19" s="7" t="s">
        <v>1564</v>
      </c>
      <c r="L19" s="11" t="str">
        <f>HYPERLINK("http://slimages.macys.com/is/image/MCY/3208152 ")</f>
        <v xml:space="preserve">http://slimages.macys.com/is/image/MCY/3208152 </v>
      </c>
    </row>
    <row r="20" spans="1:12" ht="39.950000000000003" customHeight="1" x14ac:dyDescent="0.25">
      <c r="A20" s="6" t="s">
        <v>1434</v>
      </c>
      <c r="B20" s="7" t="s">
        <v>1435</v>
      </c>
      <c r="C20" s="8">
        <v>1</v>
      </c>
      <c r="D20" s="9">
        <v>39.99</v>
      </c>
      <c r="E20" s="8" t="s">
        <v>1436</v>
      </c>
      <c r="F20" s="7" t="s">
        <v>1627</v>
      </c>
      <c r="G20" s="10" t="s">
        <v>1577</v>
      </c>
      <c r="H20" s="7" t="s">
        <v>1578</v>
      </c>
      <c r="I20" s="7" t="s">
        <v>1579</v>
      </c>
      <c r="J20" s="7" t="s">
        <v>1461</v>
      </c>
      <c r="K20" s="7" t="s">
        <v>1973</v>
      </c>
      <c r="L20" s="11" t="str">
        <f>HYPERLINK("http://slimages.macys.com/is/image/MCY/15098992 ")</f>
        <v xml:space="preserve">http://slimages.macys.com/is/image/MCY/15098992 </v>
      </c>
    </row>
    <row r="21" spans="1:12" ht="39.950000000000003" customHeight="1" x14ac:dyDescent="0.25">
      <c r="A21" s="6" t="s">
        <v>1437</v>
      </c>
      <c r="B21" s="7" t="s">
        <v>1438</v>
      </c>
      <c r="C21" s="8">
        <v>1</v>
      </c>
      <c r="D21" s="9">
        <v>34.99</v>
      </c>
      <c r="E21" s="8" t="s">
        <v>1439</v>
      </c>
      <c r="F21" s="7" t="s">
        <v>1458</v>
      </c>
      <c r="G21" s="10"/>
      <c r="H21" s="7" t="s">
        <v>1692</v>
      </c>
      <c r="I21" s="7" t="s">
        <v>2129</v>
      </c>
      <c r="J21" s="7" t="s">
        <v>1461</v>
      </c>
      <c r="K21" s="7" t="s">
        <v>1564</v>
      </c>
      <c r="L21" s="11" t="str">
        <f>HYPERLINK("http://slimages.macys.com/is/image/MCY/3664203 ")</f>
        <v xml:space="preserve">http://slimages.macys.com/is/image/MCY/3664203 </v>
      </c>
    </row>
    <row r="22" spans="1:12" ht="39.950000000000003" customHeight="1" x14ac:dyDescent="0.25">
      <c r="A22" s="6" t="s">
        <v>1440</v>
      </c>
      <c r="B22" s="7" t="s">
        <v>0</v>
      </c>
      <c r="C22" s="8">
        <v>2</v>
      </c>
      <c r="D22" s="9">
        <v>53.98</v>
      </c>
      <c r="E22" s="8" t="s">
        <v>1</v>
      </c>
      <c r="F22" s="7" t="s">
        <v>1495</v>
      </c>
      <c r="G22" s="10"/>
      <c r="H22" s="7" t="s">
        <v>1506</v>
      </c>
      <c r="I22" s="7" t="s">
        <v>2011</v>
      </c>
      <c r="J22" s="7" t="s">
        <v>1461</v>
      </c>
      <c r="K22" s="7"/>
      <c r="L22" s="11" t="str">
        <f>HYPERLINK("http://slimages.macys.com/is/image/MCY/8501242 ")</f>
        <v xml:space="preserve">http://slimages.macys.com/is/image/MCY/8501242 </v>
      </c>
    </row>
    <row r="23" spans="1:12" ht="39.950000000000003" customHeight="1" x14ac:dyDescent="0.25">
      <c r="A23" s="6" t="s">
        <v>2</v>
      </c>
      <c r="B23" s="7" t="s">
        <v>3</v>
      </c>
      <c r="C23" s="8">
        <v>1</v>
      </c>
      <c r="D23" s="9">
        <v>16.989999999999998</v>
      </c>
      <c r="E23" s="8" t="s">
        <v>4</v>
      </c>
      <c r="F23" s="7" t="s">
        <v>1458</v>
      </c>
      <c r="G23" s="10"/>
      <c r="H23" s="7" t="s">
        <v>1692</v>
      </c>
      <c r="I23" s="7" t="s">
        <v>2111</v>
      </c>
      <c r="J23" s="7"/>
      <c r="K23" s="7"/>
      <c r="L23" s="11" t="str">
        <f>HYPERLINK("http://slimages.macys.com/is/image/MCY/17934766 ")</f>
        <v xml:space="preserve">http://slimages.macys.com/is/image/MCY/17934766 </v>
      </c>
    </row>
    <row r="24" spans="1:12" ht="39.950000000000003" customHeight="1" x14ac:dyDescent="0.25">
      <c r="A24" s="6" t="s">
        <v>5</v>
      </c>
      <c r="B24" s="7" t="s">
        <v>6</v>
      </c>
      <c r="C24" s="8">
        <v>1</v>
      </c>
      <c r="D24" s="9">
        <v>15.99</v>
      </c>
      <c r="E24" s="8">
        <v>44023</v>
      </c>
      <c r="F24" s="7" t="s">
        <v>1762</v>
      </c>
      <c r="G24" s="10"/>
      <c r="H24" s="7" t="s">
        <v>1506</v>
      </c>
      <c r="I24" s="7" t="s">
        <v>1583</v>
      </c>
      <c r="J24" s="7" t="s">
        <v>1461</v>
      </c>
      <c r="K24" s="7" t="s">
        <v>1564</v>
      </c>
      <c r="L24" s="11" t="str">
        <f>HYPERLINK("http://slimages.macys.com/is/image/MCY/10010137 ")</f>
        <v xml:space="preserve">http://slimages.macys.com/is/image/MCY/10010137 </v>
      </c>
    </row>
    <row r="25" spans="1:12" ht="39.950000000000003" customHeight="1" x14ac:dyDescent="0.25">
      <c r="A25" s="6" t="s">
        <v>7</v>
      </c>
      <c r="B25" s="7" t="s">
        <v>8</v>
      </c>
      <c r="C25" s="8">
        <v>1</v>
      </c>
      <c r="D25" s="9">
        <v>15.99</v>
      </c>
      <c r="E25" s="8" t="s">
        <v>9</v>
      </c>
      <c r="F25" s="7" t="s">
        <v>1458</v>
      </c>
      <c r="G25" s="10" t="s">
        <v>1561</v>
      </c>
      <c r="H25" s="7" t="s">
        <v>1692</v>
      </c>
      <c r="I25" s="7" t="s">
        <v>10</v>
      </c>
      <c r="J25" s="7" t="s">
        <v>997</v>
      </c>
      <c r="K25" s="7" t="s">
        <v>11</v>
      </c>
      <c r="L25" s="11" t="str">
        <f>HYPERLINK("http://slimages.macys.com/is/image/MCY/16541162 ")</f>
        <v xml:space="preserve">http://slimages.macys.com/is/image/MCY/16541162 </v>
      </c>
    </row>
    <row r="26" spans="1:12" ht="39.950000000000003" customHeight="1" x14ac:dyDescent="0.25">
      <c r="A26" s="6" t="s">
        <v>1614</v>
      </c>
      <c r="B26" s="7" t="s">
        <v>1615</v>
      </c>
      <c r="C26" s="8">
        <v>5</v>
      </c>
      <c r="D26" s="9">
        <v>74.95</v>
      </c>
      <c r="E26" s="8" t="s">
        <v>1616</v>
      </c>
      <c r="F26" s="7" t="s">
        <v>1458</v>
      </c>
      <c r="G26" s="10" t="s">
        <v>1577</v>
      </c>
      <c r="H26" s="7" t="s">
        <v>1578</v>
      </c>
      <c r="I26" s="7" t="s">
        <v>1617</v>
      </c>
      <c r="J26" s="7" t="s">
        <v>1461</v>
      </c>
      <c r="K26" s="7" t="s">
        <v>1618</v>
      </c>
      <c r="L26" s="11" t="str">
        <f>HYPERLINK("http://slimages.macys.com/is/image/MCY/11946722 ")</f>
        <v xml:space="preserve">http://slimages.macys.com/is/image/MCY/11946722 </v>
      </c>
    </row>
    <row r="27" spans="1:12" ht="39.950000000000003" customHeight="1" x14ac:dyDescent="0.25">
      <c r="A27" s="6" t="s">
        <v>1649</v>
      </c>
      <c r="B27" s="7" t="s">
        <v>1650</v>
      </c>
      <c r="C27" s="8">
        <v>26</v>
      </c>
      <c r="D27" s="9">
        <v>1040</v>
      </c>
      <c r="E27" s="8"/>
      <c r="F27" s="7" t="s">
        <v>1651</v>
      </c>
      <c r="G27" s="10" t="s">
        <v>1561</v>
      </c>
      <c r="H27" s="7" t="s">
        <v>1652</v>
      </c>
      <c r="I27" s="7" t="s">
        <v>1653</v>
      </c>
      <c r="J27" s="7"/>
      <c r="K27" s="7"/>
      <c r="L27" s="11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1455</v>
      </c>
      <c r="B2" s="7" t="s">
        <v>1456</v>
      </c>
      <c r="C2" s="8">
        <v>1</v>
      </c>
      <c r="D2" s="9">
        <v>399.99</v>
      </c>
      <c r="E2" s="8" t="s">
        <v>1457</v>
      </c>
      <c r="F2" s="7" t="s">
        <v>1458</v>
      </c>
      <c r="G2" s="10"/>
      <c r="H2" s="7" t="s">
        <v>1459</v>
      </c>
      <c r="I2" s="7" t="s">
        <v>1460</v>
      </c>
      <c r="J2" s="7" t="s">
        <v>1461</v>
      </c>
      <c r="K2" s="7" t="s">
        <v>1462</v>
      </c>
      <c r="L2" s="11" t="str">
        <f>HYPERLINK("http://slimages.macys.com/is/image/MCY/3974565 ")</f>
        <v xml:space="preserve">http://slimages.macys.com/is/image/MCY/3974565 </v>
      </c>
    </row>
    <row r="3" spans="1:12" ht="39.950000000000003" customHeight="1" x14ac:dyDescent="0.25">
      <c r="A3" s="6" t="s">
        <v>1463</v>
      </c>
      <c r="B3" s="7" t="s">
        <v>1464</v>
      </c>
      <c r="C3" s="8">
        <v>1</v>
      </c>
      <c r="D3" s="9">
        <v>299.99</v>
      </c>
      <c r="E3" s="8" t="s">
        <v>1465</v>
      </c>
      <c r="F3" s="7" t="s">
        <v>1458</v>
      </c>
      <c r="G3" s="10" t="s">
        <v>1466</v>
      </c>
      <c r="H3" s="7" t="s">
        <v>1467</v>
      </c>
      <c r="I3" s="7" t="s">
        <v>1468</v>
      </c>
      <c r="J3" s="7" t="s">
        <v>1461</v>
      </c>
      <c r="K3" s="7" t="s">
        <v>1469</v>
      </c>
      <c r="L3" s="11" t="str">
        <f>HYPERLINK("http://slimages.macys.com/is/image/MCY/16381596 ")</f>
        <v xml:space="preserve">http://slimages.macys.com/is/image/MCY/16381596 </v>
      </c>
    </row>
    <row r="4" spans="1:12" ht="39.950000000000003" customHeight="1" x14ac:dyDescent="0.25">
      <c r="A4" s="6" t="s">
        <v>1470</v>
      </c>
      <c r="B4" s="7" t="s">
        <v>1471</v>
      </c>
      <c r="C4" s="8">
        <v>1</v>
      </c>
      <c r="D4" s="9">
        <v>399.99</v>
      </c>
      <c r="E4" s="8" t="s">
        <v>1472</v>
      </c>
      <c r="F4" s="7" t="s">
        <v>1458</v>
      </c>
      <c r="G4" s="10"/>
      <c r="H4" s="7" t="s">
        <v>1467</v>
      </c>
      <c r="I4" s="7" t="s">
        <v>1473</v>
      </c>
      <c r="J4" s="7" t="s">
        <v>1461</v>
      </c>
      <c r="K4" s="7"/>
      <c r="L4" s="11" t="str">
        <f>HYPERLINK("http://slimages.macys.com/is/image/MCY/16686408 ")</f>
        <v xml:space="preserve">http://slimages.macys.com/is/image/MCY/16686408 </v>
      </c>
    </row>
    <row r="5" spans="1:12" ht="39.950000000000003" customHeight="1" x14ac:dyDescent="0.25">
      <c r="A5" s="6" t="s">
        <v>1474</v>
      </c>
      <c r="B5" s="7" t="s">
        <v>1475</v>
      </c>
      <c r="C5" s="8">
        <v>1</v>
      </c>
      <c r="D5" s="9">
        <v>239.99</v>
      </c>
      <c r="E5" s="8" t="s">
        <v>1476</v>
      </c>
      <c r="F5" s="7" t="s">
        <v>1477</v>
      </c>
      <c r="G5" s="10"/>
      <c r="H5" s="7" t="s">
        <v>1467</v>
      </c>
      <c r="I5" s="7" t="s">
        <v>1468</v>
      </c>
      <c r="J5" s="7" t="s">
        <v>1461</v>
      </c>
      <c r="K5" s="7" t="s">
        <v>1478</v>
      </c>
      <c r="L5" s="11" t="str">
        <f>HYPERLINK("http://slimages.macys.com/is/image/MCY/13891271 ")</f>
        <v xml:space="preserve">http://slimages.macys.com/is/image/MCY/13891271 </v>
      </c>
    </row>
    <row r="6" spans="1:12" ht="39.950000000000003" customHeight="1" x14ac:dyDescent="0.25">
      <c r="A6" s="6" t="s">
        <v>1479</v>
      </c>
      <c r="B6" s="7" t="s">
        <v>1480</v>
      </c>
      <c r="C6" s="8">
        <v>1</v>
      </c>
      <c r="D6" s="9">
        <v>179.99</v>
      </c>
      <c r="E6" s="8" t="s">
        <v>1481</v>
      </c>
      <c r="F6" s="7" t="s">
        <v>1482</v>
      </c>
      <c r="G6" s="10"/>
      <c r="H6" s="7" t="s">
        <v>1483</v>
      </c>
      <c r="I6" s="7" t="s">
        <v>1484</v>
      </c>
      <c r="J6" s="7" t="s">
        <v>1461</v>
      </c>
      <c r="K6" s="7" t="s">
        <v>1485</v>
      </c>
      <c r="L6" s="11" t="str">
        <f>HYPERLINK("http://slimages.macys.com/is/image/MCY/14603480 ")</f>
        <v xml:space="preserve">http://slimages.macys.com/is/image/MCY/14603480 </v>
      </c>
    </row>
    <row r="7" spans="1:12" ht="39.950000000000003" customHeight="1" x14ac:dyDescent="0.25">
      <c r="A7" s="6" t="s">
        <v>1486</v>
      </c>
      <c r="B7" s="7" t="s">
        <v>1487</v>
      </c>
      <c r="C7" s="8">
        <v>1</v>
      </c>
      <c r="D7" s="9">
        <v>189.99</v>
      </c>
      <c r="E7" s="8" t="s">
        <v>1488</v>
      </c>
      <c r="F7" s="7" t="s">
        <v>1458</v>
      </c>
      <c r="G7" s="10" t="s">
        <v>1466</v>
      </c>
      <c r="H7" s="7" t="s">
        <v>1459</v>
      </c>
      <c r="I7" s="7" t="s">
        <v>1489</v>
      </c>
      <c r="J7" s="7" t="s">
        <v>1490</v>
      </c>
      <c r="K7" s="7" t="s">
        <v>1491</v>
      </c>
      <c r="L7" s="11" t="str">
        <f>HYPERLINK("http://slimages.macys.com/is/image/MCY/3962569 ")</f>
        <v xml:space="preserve">http://slimages.macys.com/is/image/MCY/3962569 </v>
      </c>
    </row>
    <row r="8" spans="1:12" ht="39.950000000000003" customHeight="1" x14ac:dyDescent="0.25">
      <c r="A8" s="6" t="s">
        <v>1492</v>
      </c>
      <c r="B8" s="7" t="s">
        <v>1493</v>
      </c>
      <c r="C8" s="8">
        <v>1</v>
      </c>
      <c r="D8" s="9">
        <v>119.99</v>
      </c>
      <c r="E8" s="8" t="s">
        <v>1494</v>
      </c>
      <c r="F8" s="7" t="s">
        <v>1495</v>
      </c>
      <c r="G8" s="10"/>
      <c r="H8" s="7" t="s">
        <v>1496</v>
      </c>
      <c r="I8" s="7" t="s">
        <v>1497</v>
      </c>
      <c r="J8" s="7" t="s">
        <v>1461</v>
      </c>
      <c r="K8" s="7"/>
      <c r="L8" s="11" t="str">
        <f>HYPERLINK("http://slimages.macys.com/is/image/MCY/8813910 ")</f>
        <v xml:space="preserve">http://slimages.macys.com/is/image/MCY/8813910 </v>
      </c>
    </row>
    <row r="9" spans="1:12" ht="39.950000000000003" customHeight="1" x14ac:dyDescent="0.25">
      <c r="A9" s="6" t="s">
        <v>1498</v>
      </c>
      <c r="B9" s="7" t="s">
        <v>1499</v>
      </c>
      <c r="C9" s="8">
        <v>1</v>
      </c>
      <c r="D9" s="9">
        <v>119.99</v>
      </c>
      <c r="E9" s="8" t="s">
        <v>1500</v>
      </c>
      <c r="F9" s="7" t="s">
        <v>1458</v>
      </c>
      <c r="G9" s="10"/>
      <c r="H9" s="7" t="s">
        <v>1483</v>
      </c>
      <c r="I9" s="7" t="s">
        <v>1501</v>
      </c>
      <c r="J9" s="7" t="s">
        <v>1461</v>
      </c>
      <c r="K9" s="7" t="s">
        <v>1502</v>
      </c>
      <c r="L9" s="11" t="str">
        <f>HYPERLINK("http://slimages.macys.com/is/image/MCY/16338902 ")</f>
        <v xml:space="preserve">http://slimages.macys.com/is/image/MCY/16338902 </v>
      </c>
    </row>
    <row r="10" spans="1:12" ht="39.950000000000003" customHeight="1" x14ac:dyDescent="0.25">
      <c r="A10" s="6" t="s">
        <v>1503</v>
      </c>
      <c r="B10" s="7" t="s">
        <v>1504</v>
      </c>
      <c r="C10" s="8">
        <v>1</v>
      </c>
      <c r="D10" s="9">
        <v>88.99</v>
      </c>
      <c r="E10" s="8">
        <v>648200</v>
      </c>
      <c r="F10" s="7" t="s">
        <v>1505</v>
      </c>
      <c r="G10" s="10"/>
      <c r="H10" s="7" t="s">
        <v>1506</v>
      </c>
      <c r="I10" s="7" t="s">
        <v>1507</v>
      </c>
      <c r="J10" s="7" t="s">
        <v>1508</v>
      </c>
      <c r="K10" s="7" t="s">
        <v>1509</v>
      </c>
      <c r="L10" s="11" t="str">
        <f>HYPERLINK("http://slimages.macys.com/is/image/MCY/15115670 ")</f>
        <v xml:space="preserve">http://slimages.macys.com/is/image/MCY/15115670 </v>
      </c>
    </row>
    <row r="11" spans="1:12" ht="39.950000000000003" customHeight="1" x14ac:dyDescent="0.25">
      <c r="A11" s="6" t="s">
        <v>1510</v>
      </c>
      <c r="B11" s="7" t="s">
        <v>1511</v>
      </c>
      <c r="C11" s="8">
        <v>2</v>
      </c>
      <c r="D11" s="9">
        <v>439.98</v>
      </c>
      <c r="E11" s="8" t="s">
        <v>1512</v>
      </c>
      <c r="F11" s="7" t="s">
        <v>1458</v>
      </c>
      <c r="G11" s="10" t="s">
        <v>1513</v>
      </c>
      <c r="H11" s="7" t="s">
        <v>1467</v>
      </c>
      <c r="I11" s="7" t="s">
        <v>1514</v>
      </c>
      <c r="J11" s="7" t="s">
        <v>1461</v>
      </c>
      <c r="K11" s="7" t="s">
        <v>1515</v>
      </c>
      <c r="L11" s="11" t="str">
        <f>HYPERLINK("http://slimages.macys.com/is/image/MCY/8820200 ")</f>
        <v xml:space="preserve">http://slimages.macys.com/is/image/MCY/8820200 </v>
      </c>
    </row>
    <row r="12" spans="1:12" ht="39.950000000000003" customHeight="1" x14ac:dyDescent="0.25">
      <c r="A12" s="6" t="s">
        <v>1516</v>
      </c>
      <c r="B12" s="7" t="s">
        <v>1517</v>
      </c>
      <c r="C12" s="8">
        <v>1</v>
      </c>
      <c r="D12" s="9">
        <v>99.99</v>
      </c>
      <c r="E12" s="8" t="s">
        <v>1518</v>
      </c>
      <c r="F12" s="7" t="s">
        <v>1519</v>
      </c>
      <c r="G12" s="10"/>
      <c r="H12" s="7" t="s">
        <v>1520</v>
      </c>
      <c r="I12" s="7" t="s">
        <v>1521</v>
      </c>
      <c r="J12" s="7"/>
      <c r="K12" s="7"/>
      <c r="L12" s="11" t="str">
        <f>HYPERLINK("http://slimages.macys.com/is/image/MCY/17532069 ")</f>
        <v xml:space="preserve">http://slimages.macys.com/is/image/MCY/17532069 </v>
      </c>
    </row>
    <row r="13" spans="1:12" ht="39.950000000000003" customHeight="1" x14ac:dyDescent="0.25">
      <c r="A13" s="6" t="s">
        <v>1522</v>
      </c>
      <c r="B13" s="7" t="s">
        <v>1523</v>
      </c>
      <c r="C13" s="8">
        <v>1</v>
      </c>
      <c r="D13" s="9">
        <v>129.99</v>
      </c>
      <c r="E13" s="8" t="s">
        <v>1524</v>
      </c>
      <c r="F13" s="7" t="s">
        <v>1525</v>
      </c>
      <c r="G13" s="10"/>
      <c r="H13" s="7" t="s">
        <v>1496</v>
      </c>
      <c r="I13" s="7" t="s">
        <v>1526</v>
      </c>
      <c r="J13" s="7" t="s">
        <v>1461</v>
      </c>
      <c r="K13" s="7" t="s">
        <v>1527</v>
      </c>
      <c r="L13" s="11" t="str">
        <f>HYPERLINK("http://slimages.macys.com/is/image/MCY/11607139 ")</f>
        <v xml:space="preserve">http://slimages.macys.com/is/image/MCY/11607139 </v>
      </c>
    </row>
    <row r="14" spans="1:12" ht="39.950000000000003" customHeight="1" x14ac:dyDescent="0.25">
      <c r="A14" s="6" t="s">
        <v>1528</v>
      </c>
      <c r="B14" s="7" t="s">
        <v>1529</v>
      </c>
      <c r="C14" s="8">
        <v>1</v>
      </c>
      <c r="D14" s="9">
        <v>59.99</v>
      </c>
      <c r="E14" s="8" t="s">
        <v>1530</v>
      </c>
      <c r="F14" s="7" t="s">
        <v>1531</v>
      </c>
      <c r="G14" s="10"/>
      <c r="H14" s="7" t="s">
        <v>1532</v>
      </c>
      <c r="I14" s="7" t="s">
        <v>1533</v>
      </c>
      <c r="J14" s="7"/>
      <c r="K14" s="7"/>
      <c r="L14" s="11" t="str">
        <f>HYPERLINK("http://slimages.macys.com/is/image/MCY/18831777 ")</f>
        <v xml:space="preserve">http://slimages.macys.com/is/image/MCY/18831777 </v>
      </c>
    </row>
    <row r="15" spans="1:12" ht="39.950000000000003" customHeight="1" x14ac:dyDescent="0.25">
      <c r="A15" s="6" t="s">
        <v>1534</v>
      </c>
      <c r="B15" s="7" t="s">
        <v>1535</v>
      </c>
      <c r="C15" s="8">
        <v>1</v>
      </c>
      <c r="D15" s="9">
        <v>78.989999999999995</v>
      </c>
      <c r="E15" s="8" t="s">
        <v>1536</v>
      </c>
      <c r="F15" s="7" t="s">
        <v>1537</v>
      </c>
      <c r="G15" s="10" t="s">
        <v>1538</v>
      </c>
      <c r="H15" s="7" t="s">
        <v>1506</v>
      </c>
      <c r="I15" s="7" t="s">
        <v>1539</v>
      </c>
      <c r="J15" s="7" t="s">
        <v>1461</v>
      </c>
      <c r="K15" s="7" t="s">
        <v>1540</v>
      </c>
      <c r="L15" s="11" t="str">
        <f>HYPERLINK("http://slimages.macys.com/is/image/MCY/16509024 ")</f>
        <v xml:space="preserve">http://slimages.macys.com/is/image/MCY/16509024 </v>
      </c>
    </row>
    <row r="16" spans="1:12" ht="39.950000000000003" customHeight="1" x14ac:dyDescent="0.25">
      <c r="A16" s="6" t="s">
        <v>1541</v>
      </c>
      <c r="B16" s="7" t="s">
        <v>1542</v>
      </c>
      <c r="C16" s="8">
        <v>1</v>
      </c>
      <c r="D16" s="9">
        <v>79.989999999999995</v>
      </c>
      <c r="E16" s="8" t="s">
        <v>1543</v>
      </c>
      <c r="F16" s="7" t="s">
        <v>1544</v>
      </c>
      <c r="G16" s="10"/>
      <c r="H16" s="7" t="s">
        <v>1545</v>
      </c>
      <c r="I16" s="7" t="s">
        <v>1546</v>
      </c>
      <c r="J16" s="7"/>
      <c r="K16" s="7"/>
      <c r="L16" s="11" t="str">
        <f>HYPERLINK("http://slimages.macys.com/is/image/MCY/17450418 ")</f>
        <v xml:space="preserve">http://slimages.macys.com/is/image/MCY/17450418 </v>
      </c>
    </row>
    <row r="17" spans="1:12" ht="39.950000000000003" customHeight="1" x14ac:dyDescent="0.25">
      <c r="A17" s="6" t="s">
        <v>1547</v>
      </c>
      <c r="B17" s="7" t="s">
        <v>1548</v>
      </c>
      <c r="C17" s="8">
        <v>1</v>
      </c>
      <c r="D17" s="9">
        <v>79.989999999999995</v>
      </c>
      <c r="E17" s="8">
        <v>10006939000</v>
      </c>
      <c r="F17" s="7" t="s">
        <v>1549</v>
      </c>
      <c r="G17" s="10"/>
      <c r="H17" s="7" t="s">
        <v>1550</v>
      </c>
      <c r="I17" s="7" t="s">
        <v>1551</v>
      </c>
      <c r="J17" s="7" t="s">
        <v>1461</v>
      </c>
      <c r="K17" s="7"/>
      <c r="L17" s="11" t="str">
        <f>HYPERLINK("http://slimages.macys.com/is/image/MCY/14725487 ")</f>
        <v xml:space="preserve">http://slimages.macys.com/is/image/MCY/14725487 </v>
      </c>
    </row>
    <row r="18" spans="1:12" ht="39.950000000000003" customHeight="1" x14ac:dyDescent="0.25">
      <c r="A18" s="6" t="s">
        <v>1552</v>
      </c>
      <c r="B18" s="7" t="s">
        <v>1553</v>
      </c>
      <c r="C18" s="8">
        <v>1</v>
      </c>
      <c r="D18" s="9">
        <v>49.99</v>
      </c>
      <c r="E18" s="8">
        <v>2000001697</v>
      </c>
      <c r="F18" s="7" t="s">
        <v>1554</v>
      </c>
      <c r="G18" s="10"/>
      <c r="H18" s="7" t="s">
        <v>1555</v>
      </c>
      <c r="I18" s="7" t="s">
        <v>1556</v>
      </c>
      <c r="J18" s="7"/>
      <c r="K18" s="7"/>
      <c r="L18" s="11" t="str">
        <f>HYPERLINK("http://slimages.macys.com/is/image/MCY/19051662 ")</f>
        <v xml:space="preserve">http://slimages.macys.com/is/image/MCY/19051662 </v>
      </c>
    </row>
    <row r="19" spans="1:12" ht="39.950000000000003" customHeight="1" x14ac:dyDescent="0.25">
      <c r="A19" s="6" t="s">
        <v>1557</v>
      </c>
      <c r="B19" s="7" t="s">
        <v>1558</v>
      </c>
      <c r="C19" s="8">
        <v>1</v>
      </c>
      <c r="D19" s="9">
        <v>54.99</v>
      </c>
      <c r="E19" s="8" t="s">
        <v>1559</v>
      </c>
      <c r="F19" s="7" t="s">
        <v>1560</v>
      </c>
      <c r="G19" s="10" t="s">
        <v>1561</v>
      </c>
      <c r="H19" s="7" t="s">
        <v>1562</v>
      </c>
      <c r="I19" s="7" t="s">
        <v>1563</v>
      </c>
      <c r="J19" s="7" t="s">
        <v>1461</v>
      </c>
      <c r="K19" s="7" t="s">
        <v>1564</v>
      </c>
      <c r="L19" s="11" t="str">
        <f>HYPERLINK("http://slimages.macys.com/is/image/MCY/15664016 ")</f>
        <v xml:space="preserve">http://slimages.macys.com/is/image/MCY/15664016 </v>
      </c>
    </row>
    <row r="20" spans="1:12" ht="39.950000000000003" customHeight="1" x14ac:dyDescent="0.25">
      <c r="A20" s="6" t="s">
        <v>1565</v>
      </c>
      <c r="B20" s="7" t="s">
        <v>1566</v>
      </c>
      <c r="C20" s="8">
        <v>1</v>
      </c>
      <c r="D20" s="9">
        <v>39.99</v>
      </c>
      <c r="E20" s="8" t="s">
        <v>1567</v>
      </c>
      <c r="F20" s="7" t="s">
        <v>1495</v>
      </c>
      <c r="G20" s="10"/>
      <c r="H20" s="7" t="s">
        <v>1496</v>
      </c>
      <c r="I20" s="7" t="s">
        <v>1526</v>
      </c>
      <c r="J20" s="7" t="s">
        <v>1461</v>
      </c>
      <c r="K20" s="7" t="s">
        <v>1568</v>
      </c>
      <c r="L20" s="11" t="str">
        <f>HYPERLINK("http://slimages.macys.com/is/image/MCY/8433239 ")</f>
        <v xml:space="preserve">http://slimages.macys.com/is/image/MCY/8433239 </v>
      </c>
    </row>
    <row r="21" spans="1:12" ht="39.950000000000003" customHeight="1" x14ac:dyDescent="0.25">
      <c r="A21" s="6" t="s">
        <v>1569</v>
      </c>
      <c r="B21" s="7" t="s">
        <v>1570</v>
      </c>
      <c r="C21" s="8">
        <v>1</v>
      </c>
      <c r="D21" s="9">
        <v>59.99</v>
      </c>
      <c r="E21" s="8">
        <v>10004897500</v>
      </c>
      <c r="F21" s="7" t="s">
        <v>1560</v>
      </c>
      <c r="G21" s="10"/>
      <c r="H21" s="7" t="s">
        <v>1550</v>
      </c>
      <c r="I21" s="7" t="s">
        <v>1551</v>
      </c>
      <c r="J21" s="7" t="s">
        <v>1461</v>
      </c>
      <c r="K21" s="7"/>
      <c r="L21" s="11" t="str">
        <f>HYPERLINK("http://slimages.macys.com/is/image/MCY/14823286 ")</f>
        <v xml:space="preserve">http://slimages.macys.com/is/image/MCY/14823286 </v>
      </c>
    </row>
    <row r="22" spans="1:12" ht="39.950000000000003" customHeight="1" x14ac:dyDescent="0.25">
      <c r="A22" s="6" t="s">
        <v>1571</v>
      </c>
      <c r="B22" s="7" t="s">
        <v>1572</v>
      </c>
      <c r="C22" s="8">
        <v>1</v>
      </c>
      <c r="D22" s="9">
        <v>39.99</v>
      </c>
      <c r="E22" s="8" t="s">
        <v>1573</v>
      </c>
      <c r="F22" s="7" t="s">
        <v>1519</v>
      </c>
      <c r="G22" s="10"/>
      <c r="H22" s="7" t="s">
        <v>1483</v>
      </c>
      <c r="I22" s="7" t="s">
        <v>1484</v>
      </c>
      <c r="J22" s="7"/>
      <c r="K22" s="7"/>
      <c r="L22" s="11" t="str">
        <f>HYPERLINK("http://slimages.macys.com/is/image/MCY/18185274 ")</f>
        <v xml:space="preserve">http://slimages.macys.com/is/image/MCY/18185274 </v>
      </c>
    </row>
    <row r="23" spans="1:12" ht="39.950000000000003" customHeight="1" x14ac:dyDescent="0.25">
      <c r="A23" s="6" t="s">
        <v>1574</v>
      </c>
      <c r="B23" s="7" t="s">
        <v>1575</v>
      </c>
      <c r="C23" s="8">
        <v>2</v>
      </c>
      <c r="D23" s="9">
        <v>59.98</v>
      </c>
      <c r="E23" s="8">
        <v>1008017300</v>
      </c>
      <c r="F23" s="7" t="s">
        <v>1576</v>
      </c>
      <c r="G23" s="10" t="s">
        <v>1577</v>
      </c>
      <c r="H23" s="7" t="s">
        <v>1578</v>
      </c>
      <c r="I23" s="7" t="s">
        <v>1579</v>
      </c>
      <c r="J23" s="7"/>
      <c r="K23" s="7"/>
      <c r="L23" s="11" t="str">
        <f>HYPERLINK("http://slimages.macys.com/is/image/MCY/18432697 ")</f>
        <v xml:space="preserve">http://slimages.macys.com/is/image/MCY/18432697 </v>
      </c>
    </row>
    <row r="24" spans="1:12" ht="39.950000000000003" customHeight="1" x14ac:dyDescent="0.25">
      <c r="A24" s="6" t="s">
        <v>1580</v>
      </c>
      <c r="B24" s="7" t="s">
        <v>1581</v>
      </c>
      <c r="C24" s="8">
        <v>1</v>
      </c>
      <c r="D24" s="9">
        <v>25.99</v>
      </c>
      <c r="E24" s="8">
        <v>24186</v>
      </c>
      <c r="F24" s="7" t="s">
        <v>1582</v>
      </c>
      <c r="G24" s="10"/>
      <c r="H24" s="7" t="s">
        <v>1506</v>
      </c>
      <c r="I24" s="7" t="s">
        <v>1583</v>
      </c>
      <c r="J24" s="7" t="s">
        <v>1461</v>
      </c>
      <c r="K24" s="7"/>
      <c r="L24" s="11" t="str">
        <f>HYPERLINK("http://slimages.macys.com/is/image/MCY/9972650 ")</f>
        <v xml:space="preserve">http://slimages.macys.com/is/image/MCY/9972650 </v>
      </c>
    </row>
    <row r="25" spans="1:12" ht="39.950000000000003" customHeight="1" x14ac:dyDescent="0.25">
      <c r="A25" s="6" t="s">
        <v>1584</v>
      </c>
      <c r="B25" s="7" t="s">
        <v>1585</v>
      </c>
      <c r="C25" s="8">
        <v>1</v>
      </c>
      <c r="D25" s="9">
        <v>26.99</v>
      </c>
      <c r="E25" s="8" t="s">
        <v>1586</v>
      </c>
      <c r="F25" s="7" t="s">
        <v>1587</v>
      </c>
      <c r="G25" s="10"/>
      <c r="H25" s="7" t="s">
        <v>1555</v>
      </c>
      <c r="I25" s="7" t="s">
        <v>1588</v>
      </c>
      <c r="J25" s="7" t="s">
        <v>1461</v>
      </c>
      <c r="K25" s="7" t="s">
        <v>1564</v>
      </c>
      <c r="L25" s="11" t="str">
        <f>HYPERLINK("http://slimages.macys.com/is/image/MCY/9975011 ")</f>
        <v xml:space="preserve">http://slimages.macys.com/is/image/MCY/9975011 </v>
      </c>
    </row>
    <row r="26" spans="1:12" ht="39.950000000000003" customHeight="1" x14ac:dyDescent="0.25">
      <c r="A26" s="6" t="s">
        <v>1589</v>
      </c>
      <c r="B26" s="7" t="s">
        <v>1590</v>
      </c>
      <c r="C26" s="8">
        <v>1</v>
      </c>
      <c r="D26" s="9">
        <v>27.99</v>
      </c>
      <c r="E26" s="8" t="s">
        <v>1591</v>
      </c>
      <c r="F26" s="7" t="s">
        <v>1458</v>
      </c>
      <c r="G26" s="10" t="s">
        <v>1592</v>
      </c>
      <c r="H26" s="7" t="s">
        <v>1506</v>
      </c>
      <c r="I26" s="7" t="s">
        <v>1593</v>
      </c>
      <c r="J26" s="7" t="s">
        <v>1490</v>
      </c>
      <c r="K26" s="7" t="s">
        <v>1594</v>
      </c>
      <c r="L26" s="11" t="str">
        <f>HYPERLINK("http://slimages.macys.com/is/image/MCY/16367348 ")</f>
        <v xml:space="preserve">http://slimages.macys.com/is/image/MCY/16367348 </v>
      </c>
    </row>
    <row r="27" spans="1:12" ht="39.950000000000003" customHeight="1" x14ac:dyDescent="0.25">
      <c r="A27" s="6" t="s">
        <v>1595</v>
      </c>
      <c r="B27" s="7" t="s">
        <v>1596</v>
      </c>
      <c r="C27" s="8">
        <v>1</v>
      </c>
      <c r="D27" s="9">
        <v>19.989999999999998</v>
      </c>
      <c r="E27" s="8">
        <v>100074841</v>
      </c>
      <c r="F27" s="7" t="s">
        <v>1597</v>
      </c>
      <c r="G27" s="10"/>
      <c r="H27" s="7" t="s">
        <v>1598</v>
      </c>
      <c r="I27" s="7" t="s">
        <v>1599</v>
      </c>
      <c r="J27" s="7" t="s">
        <v>1600</v>
      </c>
      <c r="K27" s="7" t="s">
        <v>1564</v>
      </c>
      <c r="L27" s="11" t="str">
        <f>HYPERLINK("http://slimages.macys.com/is/image/MCY/16143901 ")</f>
        <v xml:space="preserve">http://slimages.macys.com/is/image/MCY/16143901 </v>
      </c>
    </row>
    <row r="28" spans="1:12" ht="39.950000000000003" customHeight="1" x14ac:dyDescent="0.25">
      <c r="A28" s="6" t="s">
        <v>1601</v>
      </c>
      <c r="B28" s="7" t="s">
        <v>1602</v>
      </c>
      <c r="C28" s="8">
        <v>1</v>
      </c>
      <c r="D28" s="9">
        <v>19.989999999999998</v>
      </c>
      <c r="E28" s="8" t="s">
        <v>1603</v>
      </c>
      <c r="F28" s="7" t="s">
        <v>1604</v>
      </c>
      <c r="G28" s="10"/>
      <c r="H28" s="7" t="s">
        <v>1605</v>
      </c>
      <c r="I28" s="7" t="s">
        <v>1606</v>
      </c>
      <c r="J28" s="7"/>
      <c r="K28" s="7"/>
      <c r="L28" s="11" t="str">
        <f>HYPERLINK("http://slimages.macys.com/is/image/MCY/17532921 ")</f>
        <v xml:space="preserve">http://slimages.macys.com/is/image/MCY/17532921 </v>
      </c>
    </row>
    <row r="29" spans="1:12" ht="39.950000000000003" customHeight="1" x14ac:dyDescent="0.25">
      <c r="A29" s="6" t="s">
        <v>1607</v>
      </c>
      <c r="B29" s="7" t="s">
        <v>1608</v>
      </c>
      <c r="C29" s="8">
        <v>1</v>
      </c>
      <c r="D29" s="9">
        <v>16.989999999999998</v>
      </c>
      <c r="E29" s="8" t="s">
        <v>1609</v>
      </c>
      <c r="F29" s="7" t="s">
        <v>1458</v>
      </c>
      <c r="G29" s="10"/>
      <c r="H29" s="7" t="s">
        <v>1605</v>
      </c>
      <c r="I29" s="7" t="s">
        <v>1556</v>
      </c>
      <c r="J29" s="7" t="s">
        <v>1600</v>
      </c>
      <c r="K29" s="7" t="s">
        <v>1610</v>
      </c>
      <c r="L29" s="11" t="str">
        <f>HYPERLINK("http://slimages.macys.com/is/image/MCY/9515656 ")</f>
        <v xml:space="preserve">http://slimages.macys.com/is/image/MCY/9515656 </v>
      </c>
    </row>
    <row r="30" spans="1:12" ht="39.950000000000003" customHeight="1" x14ac:dyDescent="0.25">
      <c r="A30" s="6" t="s">
        <v>1611</v>
      </c>
      <c r="B30" s="7" t="s">
        <v>1612</v>
      </c>
      <c r="C30" s="8">
        <v>3</v>
      </c>
      <c r="D30" s="9">
        <v>59.97</v>
      </c>
      <c r="E30" s="8">
        <v>100071550</v>
      </c>
      <c r="F30" s="7" t="s">
        <v>1613</v>
      </c>
      <c r="G30" s="10"/>
      <c r="H30" s="7" t="s">
        <v>1598</v>
      </c>
      <c r="I30" s="7" t="s">
        <v>1599</v>
      </c>
      <c r="J30" s="7" t="s">
        <v>1600</v>
      </c>
      <c r="K30" s="7" t="s">
        <v>1564</v>
      </c>
      <c r="L30" s="11" t="str">
        <f>HYPERLINK("http://slimages.macys.com/is/image/MCY/16143901 ")</f>
        <v xml:space="preserve">http://slimages.macys.com/is/image/MCY/16143901 </v>
      </c>
    </row>
    <row r="31" spans="1:12" ht="39.950000000000003" customHeight="1" x14ac:dyDescent="0.25">
      <c r="A31" s="6" t="s">
        <v>1614</v>
      </c>
      <c r="B31" s="7" t="s">
        <v>1615</v>
      </c>
      <c r="C31" s="8">
        <v>1</v>
      </c>
      <c r="D31" s="9">
        <v>14.99</v>
      </c>
      <c r="E31" s="8" t="s">
        <v>1616</v>
      </c>
      <c r="F31" s="7" t="s">
        <v>1458</v>
      </c>
      <c r="G31" s="10" t="s">
        <v>1577</v>
      </c>
      <c r="H31" s="7" t="s">
        <v>1578</v>
      </c>
      <c r="I31" s="7" t="s">
        <v>1617</v>
      </c>
      <c r="J31" s="7" t="s">
        <v>1461</v>
      </c>
      <c r="K31" s="7" t="s">
        <v>1618</v>
      </c>
      <c r="L31" s="11" t="str">
        <f>HYPERLINK("http://slimages.macys.com/is/image/MCY/11946722 ")</f>
        <v xml:space="preserve">http://slimages.macys.com/is/image/MCY/11946722 </v>
      </c>
    </row>
    <row r="32" spans="1:12" ht="39.950000000000003" customHeight="1" x14ac:dyDescent="0.25">
      <c r="A32" s="6" t="s">
        <v>1619</v>
      </c>
      <c r="B32" s="7" t="s">
        <v>1620</v>
      </c>
      <c r="C32" s="8">
        <v>1</v>
      </c>
      <c r="D32" s="9">
        <v>7.99</v>
      </c>
      <c r="E32" s="8" t="s">
        <v>1621</v>
      </c>
      <c r="F32" s="7" t="s">
        <v>1554</v>
      </c>
      <c r="G32" s="10" t="s">
        <v>1577</v>
      </c>
      <c r="H32" s="7" t="s">
        <v>1578</v>
      </c>
      <c r="I32" s="7" t="s">
        <v>1622</v>
      </c>
      <c r="J32" s="7" t="s">
        <v>1461</v>
      </c>
      <c r="K32" s="7" t="s">
        <v>1623</v>
      </c>
      <c r="L32" s="11" t="str">
        <f>HYPERLINK("http://slimages.macys.com/is/image/MCY/12723264 ")</f>
        <v xml:space="preserve">http://slimages.macys.com/is/image/MCY/12723264 </v>
      </c>
    </row>
    <row r="33" spans="1:12" ht="39.950000000000003" customHeight="1" x14ac:dyDescent="0.25">
      <c r="A33" s="6" t="s">
        <v>1624</v>
      </c>
      <c r="B33" s="7" t="s">
        <v>1625</v>
      </c>
      <c r="C33" s="8">
        <v>1</v>
      </c>
      <c r="D33" s="9">
        <v>3.99</v>
      </c>
      <c r="E33" s="8" t="s">
        <v>1626</v>
      </c>
      <c r="F33" s="7" t="s">
        <v>1627</v>
      </c>
      <c r="G33" s="10"/>
      <c r="H33" s="7" t="s">
        <v>1628</v>
      </c>
      <c r="I33" s="7" t="s">
        <v>1629</v>
      </c>
      <c r="J33" s="7"/>
      <c r="K33" s="7"/>
      <c r="L33" s="11" t="str">
        <f>HYPERLINK("http://slimages.macys.com/is/image/MCY/18576099 ")</f>
        <v xml:space="preserve">http://slimages.macys.com/is/image/MCY/18576099 </v>
      </c>
    </row>
    <row r="34" spans="1:12" ht="39.950000000000003" customHeight="1" x14ac:dyDescent="0.25">
      <c r="A34" s="6" t="s">
        <v>1630</v>
      </c>
      <c r="B34" s="7" t="s">
        <v>1631</v>
      </c>
      <c r="C34" s="8">
        <v>1</v>
      </c>
      <c r="D34" s="9">
        <v>5.99</v>
      </c>
      <c r="E34" s="8">
        <v>1009787500</v>
      </c>
      <c r="F34" s="7" t="s">
        <v>1632</v>
      </c>
      <c r="G34" s="10" t="s">
        <v>1577</v>
      </c>
      <c r="H34" s="7" t="s">
        <v>1578</v>
      </c>
      <c r="I34" s="7" t="s">
        <v>1633</v>
      </c>
      <c r="J34" s="7"/>
      <c r="K34" s="7"/>
      <c r="L34" s="11" t="str">
        <f>HYPERLINK("http://slimages.macys.com/is/image/MCY/16520310 ")</f>
        <v xml:space="preserve">http://slimages.macys.com/is/image/MCY/16520310 </v>
      </c>
    </row>
    <row r="35" spans="1:12" ht="39.950000000000003" customHeight="1" x14ac:dyDescent="0.25">
      <c r="A35" s="6" t="s">
        <v>1634</v>
      </c>
      <c r="B35" s="7" t="s">
        <v>1635</v>
      </c>
      <c r="C35" s="8">
        <v>1</v>
      </c>
      <c r="D35" s="9">
        <v>3.99</v>
      </c>
      <c r="E35" s="8" t="s">
        <v>1636</v>
      </c>
      <c r="F35" s="7" t="s">
        <v>1637</v>
      </c>
      <c r="G35" s="10"/>
      <c r="H35" s="7" t="s">
        <v>1628</v>
      </c>
      <c r="I35" s="7" t="s">
        <v>1629</v>
      </c>
      <c r="J35" s="7"/>
      <c r="K35" s="7"/>
      <c r="L35" s="11" t="str">
        <f>HYPERLINK("http://slimages.macys.com/is/image/MCY/18576099 ")</f>
        <v xml:space="preserve">http://slimages.macys.com/is/image/MCY/18576099 </v>
      </c>
    </row>
    <row r="36" spans="1:12" ht="39.950000000000003" customHeight="1" x14ac:dyDescent="0.25">
      <c r="A36" s="6" t="s">
        <v>1638</v>
      </c>
      <c r="B36" s="7" t="s">
        <v>1639</v>
      </c>
      <c r="C36" s="8">
        <v>1</v>
      </c>
      <c r="D36" s="9">
        <v>3.99</v>
      </c>
      <c r="E36" s="8" t="s">
        <v>1640</v>
      </c>
      <c r="F36" s="7" t="s">
        <v>1458</v>
      </c>
      <c r="G36" s="10"/>
      <c r="H36" s="7" t="s">
        <v>1628</v>
      </c>
      <c r="I36" s="7" t="s">
        <v>1629</v>
      </c>
      <c r="J36" s="7"/>
      <c r="K36" s="7"/>
      <c r="L36" s="11" t="str">
        <f>HYPERLINK("http://slimages.macys.com/is/image/MCY/18576099 ")</f>
        <v xml:space="preserve">http://slimages.macys.com/is/image/MCY/18576099 </v>
      </c>
    </row>
    <row r="37" spans="1:12" ht="39.950000000000003" customHeight="1" x14ac:dyDescent="0.25">
      <c r="A37" s="6" t="s">
        <v>1641</v>
      </c>
      <c r="B37" s="7" t="s">
        <v>1642</v>
      </c>
      <c r="C37" s="8">
        <v>1</v>
      </c>
      <c r="D37" s="9">
        <v>9.99</v>
      </c>
      <c r="E37" s="8" t="s">
        <v>1643</v>
      </c>
      <c r="F37" s="7" t="s">
        <v>1458</v>
      </c>
      <c r="G37" s="10" t="s">
        <v>1644</v>
      </c>
      <c r="H37" s="7" t="s">
        <v>1578</v>
      </c>
      <c r="I37" s="7" t="s">
        <v>1617</v>
      </c>
      <c r="J37" s="7" t="s">
        <v>1461</v>
      </c>
      <c r="K37" s="7"/>
      <c r="L37" s="11" t="str">
        <f>HYPERLINK("http://slimages.macys.com/is/image/MCY/12067377 ")</f>
        <v xml:space="preserve">http://slimages.macys.com/is/image/MCY/12067377 </v>
      </c>
    </row>
    <row r="38" spans="1:12" ht="39.950000000000003" customHeight="1" x14ac:dyDescent="0.25">
      <c r="A38" s="6" t="s">
        <v>1645</v>
      </c>
      <c r="B38" s="7" t="s">
        <v>1646</v>
      </c>
      <c r="C38" s="8">
        <v>1</v>
      </c>
      <c r="D38" s="9">
        <v>6.99</v>
      </c>
      <c r="E38" s="8" t="s">
        <v>1647</v>
      </c>
      <c r="F38" s="7" t="s">
        <v>1458</v>
      </c>
      <c r="G38" s="10" t="s">
        <v>1648</v>
      </c>
      <c r="H38" s="7" t="s">
        <v>1578</v>
      </c>
      <c r="I38" s="7" t="s">
        <v>1617</v>
      </c>
      <c r="J38" s="7" t="s">
        <v>1461</v>
      </c>
      <c r="K38" s="7" t="s">
        <v>1623</v>
      </c>
      <c r="L38" s="11" t="str">
        <f>HYPERLINK("http://slimages.macys.com/is/image/MCY/12067359 ")</f>
        <v xml:space="preserve">http://slimages.macys.com/is/image/MCY/12067359 </v>
      </c>
    </row>
    <row r="39" spans="1:12" ht="39.950000000000003" customHeight="1" x14ac:dyDescent="0.25">
      <c r="A39" s="6" t="s">
        <v>1649</v>
      </c>
      <c r="B39" s="7" t="s">
        <v>1650</v>
      </c>
      <c r="C39" s="8">
        <v>17</v>
      </c>
      <c r="D39" s="9">
        <v>680</v>
      </c>
      <c r="E39" s="8"/>
      <c r="F39" s="7" t="s">
        <v>1651</v>
      </c>
      <c r="G39" s="10" t="s">
        <v>1561</v>
      </c>
      <c r="H39" s="7" t="s">
        <v>1652</v>
      </c>
      <c r="I39" s="7" t="s">
        <v>1653</v>
      </c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N5" sqref="N5"/>
    </sheetView>
  </sheetViews>
  <sheetFormatPr defaultRowHeight="39.950000000000003" customHeight="1" x14ac:dyDescent="0.25"/>
  <cols>
    <col min="1" max="1" width="9" bestFit="1" customWidth="1"/>
    <col min="2" max="2" width="25.140625" bestFit="1" customWidth="1"/>
    <col min="3" max="4" width="8.7109375" bestFit="1" customWidth="1"/>
    <col min="5" max="5" width="11" bestFit="1" customWidth="1"/>
    <col min="6" max="6" width="8.85546875" bestFit="1" customWidth="1"/>
    <col min="7" max="8" width="9" bestFit="1" customWidth="1"/>
    <col min="9" max="9" width="16.5703125" bestFit="1" customWidth="1"/>
    <col min="10" max="10" width="12.5703125" bestFit="1" customWidth="1"/>
    <col min="11" max="11" width="26.42578125" bestFit="1" customWidth="1"/>
    <col min="12" max="12" width="14.85546875" bestFit="1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12</v>
      </c>
      <c r="B2" s="7" t="s">
        <v>13</v>
      </c>
      <c r="C2" s="8">
        <v>1</v>
      </c>
      <c r="D2" s="9">
        <v>314.99</v>
      </c>
      <c r="E2" s="8" t="s">
        <v>14</v>
      </c>
      <c r="F2" s="7" t="s">
        <v>1458</v>
      </c>
      <c r="G2" s="10" t="s">
        <v>1466</v>
      </c>
      <c r="H2" s="7" t="s">
        <v>1459</v>
      </c>
      <c r="I2" s="7" t="s">
        <v>1489</v>
      </c>
      <c r="J2" s="7" t="s">
        <v>1490</v>
      </c>
      <c r="K2" s="7" t="s">
        <v>1491</v>
      </c>
      <c r="L2" s="11" t="str">
        <f>HYPERLINK("http://slimages.macys.com/is/image/MCY/3974561 ")</f>
        <v xml:space="preserve">http://slimages.macys.com/is/image/MCY/3974561 </v>
      </c>
    </row>
    <row r="3" spans="1:12" ht="39.950000000000003" customHeight="1" x14ac:dyDescent="0.25">
      <c r="A3" s="6" t="s">
        <v>15</v>
      </c>
      <c r="B3" s="7" t="s">
        <v>16</v>
      </c>
      <c r="C3" s="8">
        <v>1</v>
      </c>
      <c r="D3" s="9">
        <v>279.99</v>
      </c>
      <c r="E3" s="8" t="s">
        <v>17</v>
      </c>
      <c r="F3" s="7" t="s">
        <v>1711</v>
      </c>
      <c r="G3" s="10"/>
      <c r="H3" s="7" t="s">
        <v>1467</v>
      </c>
      <c r="I3" s="7" t="s">
        <v>1468</v>
      </c>
      <c r="J3" s="7" t="s">
        <v>1461</v>
      </c>
      <c r="K3" s="7" t="s">
        <v>18</v>
      </c>
      <c r="L3" s="11" t="str">
        <f>HYPERLINK("http://slimages.macys.com/is/image/MCY/15767048 ")</f>
        <v xml:space="preserve">http://slimages.macys.com/is/image/MCY/15767048 </v>
      </c>
    </row>
    <row r="4" spans="1:12" ht="39.950000000000003" customHeight="1" x14ac:dyDescent="0.25">
      <c r="A4" s="6" t="s">
        <v>19</v>
      </c>
      <c r="B4" s="7" t="s">
        <v>20</v>
      </c>
      <c r="C4" s="8">
        <v>1</v>
      </c>
      <c r="D4" s="9">
        <v>220.99</v>
      </c>
      <c r="E4" s="8" t="s">
        <v>21</v>
      </c>
      <c r="F4" s="7" t="s">
        <v>1597</v>
      </c>
      <c r="G4" s="10"/>
      <c r="H4" s="7" t="s">
        <v>1506</v>
      </c>
      <c r="I4" s="7" t="s">
        <v>22</v>
      </c>
      <c r="J4" s="7" t="s">
        <v>1461</v>
      </c>
      <c r="K4" s="7" t="s">
        <v>1527</v>
      </c>
      <c r="L4" s="11" t="str">
        <f>HYPERLINK("http://slimages.macys.com/is/image/MCY/11629785 ")</f>
        <v xml:space="preserve">http://slimages.macys.com/is/image/MCY/11629785 </v>
      </c>
    </row>
    <row r="5" spans="1:12" ht="39.950000000000003" customHeight="1" x14ac:dyDescent="0.25">
      <c r="A5" s="6" t="s">
        <v>23</v>
      </c>
      <c r="B5" s="7" t="s">
        <v>24</v>
      </c>
      <c r="C5" s="8">
        <v>1</v>
      </c>
      <c r="D5" s="9">
        <v>229.99</v>
      </c>
      <c r="E5" s="8" t="s">
        <v>25</v>
      </c>
      <c r="F5" s="7" t="s">
        <v>1711</v>
      </c>
      <c r="G5" s="10"/>
      <c r="H5" s="7" t="s">
        <v>1467</v>
      </c>
      <c r="I5" s="7" t="s">
        <v>1468</v>
      </c>
      <c r="J5" s="7" t="s">
        <v>1461</v>
      </c>
      <c r="K5" s="7" t="s">
        <v>18</v>
      </c>
      <c r="L5" s="11" t="str">
        <f>HYPERLINK("http://slimages.macys.com/is/image/MCY/15767048 ")</f>
        <v xml:space="preserve">http://slimages.macys.com/is/image/MCY/15767048 </v>
      </c>
    </row>
    <row r="6" spans="1:12" ht="39.950000000000003" customHeight="1" x14ac:dyDescent="0.25">
      <c r="A6" s="6" t="s">
        <v>26</v>
      </c>
      <c r="B6" s="7" t="s">
        <v>27</v>
      </c>
      <c r="C6" s="8">
        <v>1</v>
      </c>
      <c r="D6" s="9">
        <v>179.99</v>
      </c>
      <c r="E6" s="8">
        <v>22329222</v>
      </c>
      <c r="F6" s="7" t="s">
        <v>1560</v>
      </c>
      <c r="G6" s="10"/>
      <c r="H6" s="7" t="s">
        <v>1664</v>
      </c>
      <c r="I6" s="7" t="s">
        <v>1556</v>
      </c>
      <c r="J6" s="7" t="s">
        <v>1461</v>
      </c>
      <c r="K6" s="7" t="s">
        <v>1729</v>
      </c>
      <c r="L6" s="11" t="str">
        <f>HYPERLINK("http://slimages.macys.com/is/image/MCY/16688368 ")</f>
        <v xml:space="preserve">http://slimages.macys.com/is/image/MCY/16688368 </v>
      </c>
    </row>
    <row r="7" spans="1:12" ht="39.950000000000003" customHeight="1" x14ac:dyDescent="0.25">
      <c r="A7" s="6" t="s">
        <v>28</v>
      </c>
      <c r="B7" s="7" t="s">
        <v>29</v>
      </c>
      <c r="C7" s="8">
        <v>1</v>
      </c>
      <c r="D7" s="9">
        <v>120.99</v>
      </c>
      <c r="E7" s="8" t="s">
        <v>30</v>
      </c>
      <c r="F7" s="7" t="s">
        <v>1458</v>
      </c>
      <c r="G7" s="10"/>
      <c r="H7" s="7" t="s">
        <v>1555</v>
      </c>
      <c r="I7" s="7" t="s">
        <v>31</v>
      </c>
      <c r="J7" s="7" t="s">
        <v>1461</v>
      </c>
      <c r="K7" s="7" t="s">
        <v>1729</v>
      </c>
      <c r="L7" s="11" t="str">
        <f>HYPERLINK("http://slimages.macys.com/is/image/MCY/13524640 ")</f>
        <v xml:space="preserve">http://slimages.macys.com/is/image/MCY/13524640 </v>
      </c>
    </row>
    <row r="8" spans="1:12" ht="39.950000000000003" customHeight="1" x14ac:dyDescent="0.25">
      <c r="A8" s="6" t="s">
        <v>32</v>
      </c>
      <c r="B8" s="7" t="s">
        <v>33</v>
      </c>
      <c r="C8" s="8">
        <v>1</v>
      </c>
      <c r="D8" s="9">
        <v>199.99</v>
      </c>
      <c r="E8" s="8" t="s">
        <v>34</v>
      </c>
      <c r="F8" s="7" t="s">
        <v>1576</v>
      </c>
      <c r="G8" s="10"/>
      <c r="H8" s="7" t="s">
        <v>1467</v>
      </c>
      <c r="I8" s="7" t="s">
        <v>516</v>
      </c>
      <c r="J8" s="7"/>
      <c r="K8" s="7"/>
      <c r="L8" s="11" t="str">
        <f>HYPERLINK("http://slimages.macys.com/is/image/MCY/18173113 ")</f>
        <v xml:space="preserve">http://slimages.macys.com/is/image/MCY/18173113 </v>
      </c>
    </row>
    <row r="9" spans="1:12" ht="39.950000000000003" customHeight="1" x14ac:dyDescent="0.25">
      <c r="A9" s="6" t="s">
        <v>1068</v>
      </c>
      <c r="B9" s="7" t="s">
        <v>1069</v>
      </c>
      <c r="C9" s="8">
        <v>1</v>
      </c>
      <c r="D9" s="9">
        <v>169.99</v>
      </c>
      <c r="E9" s="8" t="s">
        <v>1070</v>
      </c>
      <c r="F9" s="7" t="s">
        <v>1458</v>
      </c>
      <c r="G9" s="10"/>
      <c r="H9" s="7" t="s">
        <v>1545</v>
      </c>
      <c r="I9" s="7" t="s">
        <v>1546</v>
      </c>
      <c r="J9" s="7"/>
      <c r="K9" s="7"/>
      <c r="L9" s="11" t="str">
        <f>HYPERLINK("http://slimages.macys.com/is/image/MCY/18941500 ")</f>
        <v xml:space="preserve">http://slimages.macys.com/is/image/MCY/18941500 </v>
      </c>
    </row>
    <row r="10" spans="1:12" ht="39.950000000000003" customHeight="1" x14ac:dyDescent="0.25">
      <c r="A10" s="6" t="s">
        <v>35</v>
      </c>
      <c r="B10" s="7" t="s">
        <v>36</v>
      </c>
      <c r="C10" s="8">
        <v>1</v>
      </c>
      <c r="D10" s="9">
        <v>109.99</v>
      </c>
      <c r="E10" s="8" t="s">
        <v>37</v>
      </c>
      <c r="F10" s="7" t="s">
        <v>1458</v>
      </c>
      <c r="G10" s="10"/>
      <c r="H10" s="7" t="s">
        <v>1496</v>
      </c>
      <c r="I10" s="7" t="s">
        <v>1526</v>
      </c>
      <c r="J10" s="7" t="s">
        <v>1461</v>
      </c>
      <c r="K10" s="7"/>
      <c r="L10" s="11" t="str">
        <f>HYPERLINK("http://slimages.macys.com/is/image/MCY/11534834 ")</f>
        <v xml:space="preserve">http://slimages.macys.com/is/image/MCY/11534834 </v>
      </c>
    </row>
    <row r="11" spans="1:12" ht="39.950000000000003" customHeight="1" x14ac:dyDescent="0.25">
      <c r="A11" s="6" t="s">
        <v>38</v>
      </c>
      <c r="B11" s="7" t="s">
        <v>39</v>
      </c>
      <c r="C11" s="8">
        <v>1</v>
      </c>
      <c r="D11" s="9">
        <v>179.99</v>
      </c>
      <c r="E11" s="8" t="s">
        <v>40</v>
      </c>
      <c r="F11" s="7" t="s">
        <v>1560</v>
      </c>
      <c r="G11" s="10"/>
      <c r="H11" s="7" t="s">
        <v>1550</v>
      </c>
      <c r="I11" s="7" t="s">
        <v>1551</v>
      </c>
      <c r="J11" s="7"/>
      <c r="K11" s="7"/>
      <c r="L11" s="11" t="str">
        <f>HYPERLINK("http://slimages.macys.com/is/image/MCY/18533682 ")</f>
        <v xml:space="preserve">http://slimages.macys.com/is/image/MCY/18533682 </v>
      </c>
    </row>
    <row r="12" spans="1:12" ht="39.950000000000003" customHeight="1" x14ac:dyDescent="0.25">
      <c r="A12" s="6" t="s">
        <v>41</v>
      </c>
      <c r="B12" s="7" t="s">
        <v>42</v>
      </c>
      <c r="C12" s="8">
        <v>1</v>
      </c>
      <c r="D12" s="9">
        <v>99.99</v>
      </c>
      <c r="E12" s="8" t="s">
        <v>43</v>
      </c>
      <c r="F12" s="7" t="s">
        <v>970</v>
      </c>
      <c r="G12" s="10"/>
      <c r="H12" s="7" t="s">
        <v>1496</v>
      </c>
      <c r="I12" s="7" t="s">
        <v>44</v>
      </c>
      <c r="J12" s="7" t="s">
        <v>1461</v>
      </c>
      <c r="K12" s="7"/>
      <c r="L12" s="11" t="str">
        <f>HYPERLINK("http://slimages.macys.com/is/image/MCY/10015969 ")</f>
        <v xml:space="preserve">http://slimages.macys.com/is/image/MCY/10015969 </v>
      </c>
    </row>
    <row r="13" spans="1:12" ht="39.950000000000003" customHeight="1" x14ac:dyDescent="0.25">
      <c r="A13" s="6" t="s">
        <v>45</v>
      </c>
      <c r="B13" s="7" t="s">
        <v>46</v>
      </c>
      <c r="C13" s="8">
        <v>1</v>
      </c>
      <c r="D13" s="9">
        <v>109.99</v>
      </c>
      <c r="E13" s="8" t="s">
        <v>47</v>
      </c>
      <c r="F13" s="7" t="s">
        <v>2040</v>
      </c>
      <c r="G13" s="10"/>
      <c r="H13" s="7" t="s">
        <v>1664</v>
      </c>
      <c r="I13" s="7" t="s">
        <v>1521</v>
      </c>
      <c r="J13" s="7"/>
      <c r="K13" s="7"/>
      <c r="L13" s="11" t="str">
        <f>HYPERLINK("http://slimages.macys.com/is/image/MCY/18201784 ")</f>
        <v xml:space="preserve">http://slimages.macys.com/is/image/MCY/18201784 </v>
      </c>
    </row>
    <row r="14" spans="1:12" ht="39.950000000000003" customHeight="1" x14ac:dyDescent="0.25">
      <c r="A14" s="6" t="s">
        <v>48</v>
      </c>
      <c r="B14" s="7" t="s">
        <v>49</v>
      </c>
      <c r="C14" s="8">
        <v>1</v>
      </c>
      <c r="D14" s="9">
        <v>99.99</v>
      </c>
      <c r="E14" s="8" t="s">
        <v>50</v>
      </c>
      <c r="F14" s="7" t="s">
        <v>1482</v>
      </c>
      <c r="G14" s="10"/>
      <c r="H14" s="7" t="s">
        <v>2089</v>
      </c>
      <c r="I14" s="7" t="s">
        <v>2090</v>
      </c>
      <c r="J14" s="7"/>
      <c r="K14" s="7"/>
      <c r="L14" s="11" t="str">
        <f>HYPERLINK("http://slimages.macys.com/is/image/MCY/17662979 ")</f>
        <v xml:space="preserve">http://slimages.macys.com/is/image/MCY/17662979 </v>
      </c>
    </row>
    <row r="15" spans="1:12" ht="39.950000000000003" customHeight="1" x14ac:dyDescent="0.25">
      <c r="A15" s="6" t="s">
        <v>51</v>
      </c>
      <c r="B15" s="7" t="s">
        <v>52</v>
      </c>
      <c r="C15" s="8">
        <v>1</v>
      </c>
      <c r="D15" s="9">
        <v>129.99</v>
      </c>
      <c r="E15" s="8" t="s">
        <v>53</v>
      </c>
      <c r="F15" s="7" t="s">
        <v>2040</v>
      </c>
      <c r="G15" s="10"/>
      <c r="H15" s="7" t="s">
        <v>1496</v>
      </c>
      <c r="I15" s="7" t="s">
        <v>1526</v>
      </c>
      <c r="J15" s="7" t="s">
        <v>1461</v>
      </c>
      <c r="K15" s="7" t="s">
        <v>1913</v>
      </c>
      <c r="L15" s="11" t="str">
        <f>HYPERLINK("http://slimages.macys.com/is/image/MCY/15862594 ")</f>
        <v xml:space="preserve">http://slimages.macys.com/is/image/MCY/15862594 </v>
      </c>
    </row>
    <row r="16" spans="1:12" ht="39.950000000000003" customHeight="1" x14ac:dyDescent="0.25">
      <c r="A16" s="6" t="s">
        <v>54</v>
      </c>
      <c r="B16" s="7" t="s">
        <v>55</v>
      </c>
      <c r="C16" s="8">
        <v>1</v>
      </c>
      <c r="D16" s="9">
        <v>119.99</v>
      </c>
      <c r="E16" s="8" t="s">
        <v>56</v>
      </c>
      <c r="F16" s="7" t="s">
        <v>1604</v>
      </c>
      <c r="G16" s="10"/>
      <c r="H16" s="7" t="s">
        <v>1550</v>
      </c>
      <c r="I16" s="7" t="s">
        <v>1617</v>
      </c>
      <c r="J16" s="7" t="s">
        <v>1461</v>
      </c>
      <c r="K16" s="7" t="s">
        <v>57</v>
      </c>
      <c r="L16" s="11" t="str">
        <f>HYPERLINK("http://slimages.macys.com/is/image/MCY/16143905 ")</f>
        <v xml:space="preserve">http://slimages.macys.com/is/image/MCY/16143905 </v>
      </c>
    </row>
    <row r="17" spans="1:12" ht="39.950000000000003" customHeight="1" x14ac:dyDescent="0.25">
      <c r="A17" s="6" t="s">
        <v>58</v>
      </c>
      <c r="B17" s="7" t="s">
        <v>59</v>
      </c>
      <c r="C17" s="8">
        <v>1</v>
      </c>
      <c r="D17" s="9">
        <v>59.99</v>
      </c>
      <c r="E17" s="8" t="s">
        <v>60</v>
      </c>
      <c r="F17" s="7" t="s">
        <v>1458</v>
      </c>
      <c r="G17" s="10"/>
      <c r="H17" s="7" t="s">
        <v>1555</v>
      </c>
      <c r="I17" s="7" t="s">
        <v>1830</v>
      </c>
      <c r="J17" s="7" t="s">
        <v>1461</v>
      </c>
      <c r="K17" s="7" t="s">
        <v>1618</v>
      </c>
      <c r="L17" s="11" t="str">
        <f>HYPERLINK("http://slimages.macys.com/is/image/MCY/15390117 ")</f>
        <v xml:space="preserve">http://slimages.macys.com/is/image/MCY/15390117 </v>
      </c>
    </row>
    <row r="18" spans="1:12" ht="39.950000000000003" customHeight="1" x14ac:dyDescent="0.25">
      <c r="A18" s="6" t="s">
        <v>61</v>
      </c>
      <c r="B18" s="7" t="s">
        <v>62</v>
      </c>
      <c r="C18" s="8">
        <v>1</v>
      </c>
      <c r="D18" s="9">
        <v>99.99</v>
      </c>
      <c r="E18" s="8" t="s">
        <v>63</v>
      </c>
      <c r="F18" s="7" t="s">
        <v>1554</v>
      </c>
      <c r="G18" s="10"/>
      <c r="H18" s="7" t="s">
        <v>1545</v>
      </c>
      <c r="I18" s="7" t="s">
        <v>1546</v>
      </c>
      <c r="J18" s="7"/>
      <c r="K18" s="7"/>
      <c r="L18" s="11" t="str">
        <f>HYPERLINK("http://slimages.macys.com/is/image/MCY/17674312 ")</f>
        <v xml:space="preserve">http://slimages.macys.com/is/image/MCY/17674312 </v>
      </c>
    </row>
    <row r="19" spans="1:12" ht="39.950000000000003" customHeight="1" x14ac:dyDescent="0.25">
      <c r="A19" s="6" t="s">
        <v>64</v>
      </c>
      <c r="B19" s="7" t="s">
        <v>65</v>
      </c>
      <c r="C19" s="8">
        <v>1</v>
      </c>
      <c r="D19" s="9">
        <v>99.99</v>
      </c>
      <c r="E19" s="8" t="s">
        <v>66</v>
      </c>
      <c r="F19" s="7" t="s">
        <v>1458</v>
      </c>
      <c r="G19" s="10"/>
      <c r="H19" s="7" t="s">
        <v>1459</v>
      </c>
      <c r="I19" s="7" t="s">
        <v>1599</v>
      </c>
      <c r="J19" s="7"/>
      <c r="K19" s="7"/>
      <c r="L19" s="11" t="str">
        <f>HYPERLINK("http://slimages.macys.com/is/image/MCY/17565919 ")</f>
        <v xml:space="preserve">http://slimages.macys.com/is/image/MCY/17565919 </v>
      </c>
    </row>
    <row r="20" spans="1:12" ht="39.950000000000003" customHeight="1" x14ac:dyDescent="0.25">
      <c r="A20" s="6" t="s">
        <v>67</v>
      </c>
      <c r="B20" s="7" t="s">
        <v>68</v>
      </c>
      <c r="C20" s="8">
        <v>1</v>
      </c>
      <c r="D20" s="9">
        <v>59.99</v>
      </c>
      <c r="E20" s="8">
        <v>21477322</v>
      </c>
      <c r="F20" s="7" t="s">
        <v>1554</v>
      </c>
      <c r="G20" s="10"/>
      <c r="H20" s="7" t="s">
        <v>1664</v>
      </c>
      <c r="I20" s="7" t="s">
        <v>1556</v>
      </c>
      <c r="J20" s="7" t="s">
        <v>1461</v>
      </c>
      <c r="K20" s="7" t="s">
        <v>1564</v>
      </c>
      <c r="L20" s="11" t="str">
        <f>HYPERLINK("http://slimages.macys.com/is/image/MCY/15396155 ")</f>
        <v xml:space="preserve">http://slimages.macys.com/is/image/MCY/15396155 </v>
      </c>
    </row>
    <row r="21" spans="1:12" ht="39.950000000000003" customHeight="1" x14ac:dyDescent="0.25">
      <c r="A21" s="6" t="s">
        <v>69</v>
      </c>
      <c r="B21" s="7" t="s">
        <v>70</v>
      </c>
      <c r="C21" s="8">
        <v>2</v>
      </c>
      <c r="D21" s="9">
        <v>119.98</v>
      </c>
      <c r="E21" s="8" t="s">
        <v>71</v>
      </c>
      <c r="F21" s="7" t="s">
        <v>1821</v>
      </c>
      <c r="G21" s="10"/>
      <c r="H21" s="7" t="s">
        <v>1605</v>
      </c>
      <c r="I21" s="7" t="s">
        <v>72</v>
      </c>
      <c r="J21" s="7"/>
      <c r="K21" s="7"/>
      <c r="L21" s="11" t="str">
        <f>HYPERLINK("http://slimages.macys.com/is/image/MCY/17338379 ")</f>
        <v xml:space="preserve">http://slimages.macys.com/is/image/MCY/17338379 </v>
      </c>
    </row>
    <row r="22" spans="1:12" ht="39.950000000000003" customHeight="1" x14ac:dyDescent="0.25">
      <c r="A22" s="6" t="s">
        <v>73</v>
      </c>
      <c r="B22" s="7" t="s">
        <v>74</v>
      </c>
      <c r="C22" s="8">
        <v>1</v>
      </c>
      <c r="D22" s="9">
        <v>78.989999999999995</v>
      </c>
      <c r="E22" s="8" t="s">
        <v>75</v>
      </c>
      <c r="F22" s="7" t="s">
        <v>1856</v>
      </c>
      <c r="G22" s="10"/>
      <c r="H22" s="7" t="s">
        <v>1506</v>
      </c>
      <c r="I22" s="7" t="s">
        <v>76</v>
      </c>
      <c r="J22" s="7" t="s">
        <v>1461</v>
      </c>
      <c r="K22" s="7" t="s">
        <v>77</v>
      </c>
      <c r="L22" s="11" t="str">
        <f>HYPERLINK("http://slimages.macys.com/is/image/MCY/14829007 ")</f>
        <v xml:space="preserve">http://slimages.macys.com/is/image/MCY/14829007 </v>
      </c>
    </row>
    <row r="23" spans="1:12" ht="39.950000000000003" customHeight="1" x14ac:dyDescent="0.25">
      <c r="A23" s="6" t="s">
        <v>78</v>
      </c>
      <c r="B23" s="7" t="s">
        <v>79</v>
      </c>
      <c r="C23" s="8">
        <v>1</v>
      </c>
      <c r="D23" s="9">
        <v>59.99</v>
      </c>
      <c r="E23" s="8" t="s">
        <v>80</v>
      </c>
      <c r="F23" s="7" t="s">
        <v>1554</v>
      </c>
      <c r="G23" s="10"/>
      <c r="H23" s="7" t="s">
        <v>1555</v>
      </c>
      <c r="I23" s="7" t="s">
        <v>1830</v>
      </c>
      <c r="J23" s="7" t="s">
        <v>1461</v>
      </c>
      <c r="K23" s="7" t="s">
        <v>1831</v>
      </c>
      <c r="L23" s="11" t="str">
        <f>HYPERLINK("http://slimages.macys.com/is/image/MCY/13036438 ")</f>
        <v xml:space="preserve">http://slimages.macys.com/is/image/MCY/13036438 </v>
      </c>
    </row>
    <row r="24" spans="1:12" ht="39.950000000000003" customHeight="1" x14ac:dyDescent="0.25">
      <c r="A24" s="6" t="s">
        <v>81</v>
      </c>
      <c r="B24" s="7" t="s">
        <v>82</v>
      </c>
      <c r="C24" s="8">
        <v>1</v>
      </c>
      <c r="D24" s="9">
        <v>59.99</v>
      </c>
      <c r="E24" s="8" t="s">
        <v>83</v>
      </c>
      <c r="F24" s="7" t="s">
        <v>1549</v>
      </c>
      <c r="G24" s="10"/>
      <c r="H24" s="7" t="s">
        <v>1555</v>
      </c>
      <c r="I24" s="7" t="s">
        <v>1830</v>
      </c>
      <c r="J24" s="7" t="s">
        <v>1461</v>
      </c>
      <c r="K24" s="7" t="s">
        <v>1831</v>
      </c>
      <c r="L24" s="11" t="str">
        <f>HYPERLINK("http://slimages.macys.com/is/image/MCY/13036438 ")</f>
        <v xml:space="preserve">http://slimages.macys.com/is/image/MCY/13036438 </v>
      </c>
    </row>
    <row r="25" spans="1:12" ht="39.950000000000003" customHeight="1" x14ac:dyDescent="0.25">
      <c r="A25" s="6" t="s">
        <v>84</v>
      </c>
      <c r="B25" s="7" t="s">
        <v>85</v>
      </c>
      <c r="C25" s="8">
        <v>1</v>
      </c>
      <c r="D25" s="9">
        <v>39.99</v>
      </c>
      <c r="E25" s="8" t="s">
        <v>86</v>
      </c>
      <c r="F25" s="7" t="s">
        <v>970</v>
      </c>
      <c r="G25" s="10"/>
      <c r="H25" s="7" t="s">
        <v>1555</v>
      </c>
      <c r="I25" s="7" t="s">
        <v>1830</v>
      </c>
      <c r="J25" s="7" t="s">
        <v>1461</v>
      </c>
      <c r="K25" s="7"/>
      <c r="L25" s="11" t="str">
        <f>HYPERLINK("http://slimages.macys.com/is/image/MCY/11764484 ")</f>
        <v xml:space="preserve">http://slimages.macys.com/is/image/MCY/11764484 </v>
      </c>
    </row>
    <row r="26" spans="1:12" ht="39.950000000000003" customHeight="1" x14ac:dyDescent="0.25">
      <c r="A26" s="6" t="s">
        <v>1273</v>
      </c>
      <c r="B26" s="7" t="s">
        <v>1274</v>
      </c>
      <c r="C26" s="8">
        <v>1</v>
      </c>
      <c r="D26" s="9">
        <v>49.99</v>
      </c>
      <c r="E26" s="8" t="s">
        <v>1275</v>
      </c>
      <c r="F26" s="7" t="s">
        <v>1560</v>
      </c>
      <c r="G26" s="10"/>
      <c r="H26" s="7" t="s">
        <v>1664</v>
      </c>
      <c r="I26" s="7" t="s">
        <v>1556</v>
      </c>
      <c r="J26" s="7" t="s">
        <v>1461</v>
      </c>
      <c r="K26" s="7" t="s">
        <v>1564</v>
      </c>
      <c r="L26" s="11" t="str">
        <f>HYPERLINK("http://slimages.macys.com/is/image/MCY/8347198 ")</f>
        <v xml:space="preserve">http://slimages.macys.com/is/image/MCY/8347198 </v>
      </c>
    </row>
    <row r="27" spans="1:12" ht="39.950000000000003" customHeight="1" x14ac:dyDescent="0.25">
      <c r="A27" s="6" t="s">
        <v>87</v>
      </c>
      <c r="B27" s="7" t="s">
        <v>88</v>
      </c>
      <c r="C27" s="8">
        <v>1</v>
      </c>
      <c r="D27" s="9">
        <v>92.99</v>
      </c>
      <c r="E27" s="8" t="s">
        <v>89</v>
      </c>
      <c r="F27" s="7" t="s">
        <v>1604</v>
      </c>
      <c r="G27" s="10"/>
      <c r="H27" s="7" t="s">
        <v>1664</v>
      </c>
      <c r="I27" s="7" t="s">
        <v>1521</v>
      </c>
      <c r="J27" s="7" t="s">
        <v>1461</v>
      </c>
      <c r="K27" s="7" t="s">
        <v>1564</v>
      </c>
      <c r="L27" s="11" t="str">
        <f>HYPERLINK("http://slimages.macys.com/is/image/MCY/16484645 ")</f>
        <v xml:space="preserve">http://slimages.macys.com/is/image/MCY/16484645 </v>
      </c>
    </row>
    <row r="28" spans="1:12" ht="39.950000000000003" customHeight="1" x14ac:dyDescent="0.25">
      <c r="A28" s="6" t="s">
        <v>90</v>
      </c>
      <c r="B28" s="7" t="s">
        <v>91</v>
      </c>
      <c r="C28" s="8">
        <v>1</v>
      </c>
      <c r="D28" s="9">
        <v>79.989999999999995</v>
      </c>
      <c r="E28" s="8" t="s">
        <v>92</v>
      </c>
      <c r="F28" s="7" t="s">
        <v>1711</v>
      </c>
      <c r="G28" s="10"/>
      <c r="H28" s="7" t="s">
        <v>1467</v>
      </c>
      <c r="I28" s="7" t="s">
        <v>1751</v>
      </c>
      <c r="J28" s="7" t="s">
        <v>1461</v>
      </c>
      <c r="K28" s="7"/>
      <c r="L28" s="11" t="str">
        <f>HYPERLINK("http://slimages.macys.com/is/image/MCY/10673247 ")</f>
        <v xml:space="preserve">http://slimages.macys.com/is/image/MCY/10673247 </v>
      </c>
    </row>
    <row r="29" spans="1:12" ht="39.950000000000003" customHeight="1" x14ac:dyDescent="0.25">
      <c r="A29" s="6" t="s">
        <v>93</v>
      </c>
      <c r="B29" s="7" t="s">
        <v>94</v>
      </c>
      <c r="C29" s="8">
        <v>1</v>
      </c>
      <c r="D29" s="9">
        <v>41.99</v>
      </c>
      <c r="E29" s="8" t="s">
        <v>95</v>
      </c>
      <c r="F29" s="7" t="s">
        <v>1821</v>
      </c>
      <c r="G29" s="10" t="s">
        <v>96</v>
      </c>
      <c r="H29" s="7" t="s">
        <v>1605</v>
      </c>
      <c r="I29" s="7" t="s">
        <v>72</v>
      </c>
      <c r="J29" s="7"/>
      <c r="K29" s="7"/>
      <c r="L29" s="11" t="str">
        <f>HYPERLINK("http://slimages.macys.com/is/image/MCY/17338288 ")</f>
        <v xml:space="preserve">http://slimages.macys.com/is/image/MCY/17338288 </v>
      </c>
    </row>
    <row r="30" spans="1:12" ht="39.950000000000003" customHeight="1" x14ac:dyDescent="0.25">
      <c r="A30" s="6" t="s">
        <v>97</v>
      </c>
      <c r="B30" s="7" t="s">
        <v>98</v>
      </c>
      <c r="C30" s="8">
        <v>1</v>
      </c>
      <c r="D30" s="9">
        <v>39.99</v>
      </c>
      <c r="E30" s="8" t="s">
        <v>99</v>
      </c>
      <c r="F30" s="7" t="s">
        <v>1495</v>
      </c>
      <c r="G30" s="10" t="s">
        <v>1984</v>
      </c>
      <c r="H30" s="7" t="s">
        <v>1496</v>
      </c>
      <c r="I30" s="7" t="s">
        <v>1526</v>
      </c>
      <c r="J30" s="7" t="s">
        <v>1461</v>
      </c>
      <c r="K30" s="7"/>
      <c r="L30" s="11" t="str">
        <f>HYPERLINK("http://slimages.macys.com/is/image/MCY/8435667 ")</f>
        <v xml:space="preserve">http://slimages.macys.com/is/image/MCY/8435667 </v>
      </c>
    </row>
    <row r="31" spans="1:12" ht="39.950000000000003" customHeight="1" x14ac:dyDescent="0.25">
      <c r="A31" s="6" t="s">
        <v>100</v>
      </c>
      <c r="B31" s="7" t="s">
        <v>101</v>
      </c>
      <c r="C31" s="8">
        <v>1</v>
      </c>
      <c r="D31" s="9">
        <v>39.99</v>
      </c>
      <c r="E31" s="8">
        <v>130118</v>
      </c>
      <c r="F31" s="7" t="s">
        <v>1458</v>
      </c>
      <c r="G31" s="10"/>
      <c r="H31" s="7" t="s">
        <v>1562</v>
      </c>
      <c r="I31" s="7" t="s">
        <v>1842</v>
      </c>
      <c r="J31" s="7" t="s">
        <v>1461</v>
      </c>
      <c r="K31" s="7" t="s">
        <v>1843</v>
      </c>
      <c r="L31" s="11" t="str">
        <f>HYPERLINK("http://slimages.macys.com/is/image/MCY/3895749 ")</f>
        <v xml:space="preserve">http://slimages.macys.com/is/image/MCY/3895749 </v>
      </c>
    </row>
    <row r="32" spans="1:12" ht="39.950000000000003" customHeight="1" x14ac:dyDescent="0.25">
      <c r="A32" s="6" t="s">
        <v>102</v>
      </c>
      <c r="B32" s="7" t="s">
        <v>103</v>
      </c>
      <c r="C32" s="8">
        <v>1</v>
      </c>
      <c r="D32" s="9">
        <v>24.99</v>
      </c>
      <c r="E32" s="8" t="s">
        <v>104</v>
      </c>
      <c r="F32" s="7" t="s">
        <v>1627</v>
      </c>
      <c r="G32" s="10"/>
      <c r="H32" s="7" t="s">
        <v>1520</v>
      </c>
      <c r="I32" s="7" t="s">
        <v>2017</v>
      </c>
      <c r="J32" s="7" t="s">
        <v>1461</v>
      </c>
      <c r="K32" s="7" t="s">
        <v>1564</v>
      </c>
      <c r="L32" s="11" t="str">
        <f>HYPERLINK("http://slimages.macys.com/is/image/MCY/2861128 ")</f>
        <v xml:space="preserve">http://slimages.macys.com/is/image/MCY/2861128 </v>
      </c>
    </row>
    <row r="33" spans="1:12" ht="39.950000000000003" customHeight="1" x14ac:dyDescent="0.25">
      <c r="A33" s="6" t="s">
        <v>105</v>
      </c>
      <c r="B33" s="7" t="s">
        <v>106</v>
      </c>
      <c r="C33" s="8">
        <v>1</v>
      </c>
      <c r="D33" s="9">
        <v>39.99</v>
      </c>
      <c r="E33" s="8" t="s">
        <v>107</v>
      </c>
      <c r="F33" s="7" t="s">
        <v>1651</v>
      </c>
      <c r="G33" s="10" t="s">
        <v>1954</v>
      </c>
      <c r="H33" s="7" t="s">
        <v>1851</v>
      </c>
      <c r="I33" s="7" t="s">
        <v>1852</v>
      </c>
      <c r="J33" s="7" t="s">
        <v>1600</v>
      </c>
      <c r="K33" s="7" t="s">
        <v>108</v>
      </c>
      <c r="L33" s="11" t="str">
        <f>HYPERLINK("http://slimages.macys.com/is/image/MCY/256335 ")</f>
        <v xml:space="preserve">http://slimages.macys.com/is/image/MCY/256335 </v>
      </c>
    </row>
    <row r="34" spans="1:12" ht="39.950000000000003" customHeight="1" x14ac:dyDescent="0.25">
      <c r="A34" s="6" t="s">
        <v>109</v>
      </c>
      <c r="B34" s="7" t="s">
        <v>110</v>
      </c>
      <c r="C34" s="8">
        <v>1</v>
      </c>
      <c r="D34" s="9">
        <v>29.99</v>
      </c>
      <c r="E34" s="8">
        <v>2000000023</v>
      </c>
      <c r="F34" s="7" t="s">
        <v>1519</v>
      </c>
      <c r="G34" s="10"/>
      <c r="H34" s="7" t="s">
        <v>1664</v>
      </c>
      <c r="I34" s="7" t="s">
        <v>1556</v>
      </c>
      <c r="J34" s="7"/>
      <c r="K34" s="7"/>
      <c r="L34" s="11" t="str">
        <f>HYPERLINK("http://slimages.macys.com/is/image/MCY/17859291 ")</f>
        <v xml:space="preserve">http://slimages.macys.com/is/image/MCY/17859291 </v>
      </c>
    </row>
    <row r="35" spans="1:12" ht="39.950000000000003" customHeight="1" x14ac:dyDescent="0.25">
      <c r="A35" s="6" t="s">
        <v>111</v>
      </c>
      <c r="B35" s="7" t="s">
        <v>112</v>
      </c>
      <c r="C35" s="8">
        <v>1</v>
      </c>
      <c r="D35" s="9">
        <v>29.99</v>
      </c>
      <c r="E35" s="8" t="s">
        <v>113</v>
      </c>
      <c r="F35" s="7" t="s">
        <v>1458</v>
      </c>
      <c r="G35" s="10" t="s">
        <v>1577</v>
      </c>
      <c r="H35" s="7" t="s">
        <v>1578</v>
      </c>
      <c r="I35" s="7" t="s">
        <v>1579</v>
      </c>
      <c r="J35" s="7" t="s">
        <v>1461</v>
      </c>
      <c r="K35" s="7" t="s">
        <v>1618</v>
      </c>
      <c r="L35" s="11" t="str">
        <f>HYPERLINK("http://slimages.macys.com/is/image/MCY/13285480 ")</f>
        <v xml:space="preserve">http://slimages.macys.com/is/image/MCY/13285480 </v>
      </c>
    </row>
    <row r="36" spans="1:12" ht="39.950000000000003" customHeight="1" x14ac:dyDescent="0.25">
      <c r="A36" s="6" t="s">
        <v>114</v>
      </c>
      <c r="B36" s="7" t="s">
        <v>115</v>
      </c>
      <c r="C36" s="8">
        <v>1</v>
      </c>
      <c r="D36" s="9">
        <v>24.99</v>
      </c>
      <c r="E36" s="8" t="s">
        <v>116</v>
      </c>
      <c r="F36" s="7" t="s">
        <v>1627</v>
      </c>
      <c r="G36" s="10"/>
      <c r="H36" s="7" t="s">
        <v>1555</v>
      </c>
      <c r="I36" s="7" t="s">
        <v>2373</v>
      </c>
      <c r="J36" s="7" t="s">
        <v>1461</v>
      </c>
      <c r="K36" s="7" t="s">
        <v>1564</v>
      </c>
      <c r="L36" s="11" t="str">
        <f>HYPERLINK("http://slimages.macys.com/is/image/MCY/10284317 ")</f>
        <v xml:space="preserve">http://slimages.macys.com/is/image/MCY/10284317 </v>
      </c>
    </row>
    <row r="37" spans="1:12" ht="39.950000000000003" customHeight="1" x14ac:dyDescent="0.25">
      <c r="A37" s="6" t="s">
        <v>117</v>
      </c>
      <c r="B37" s="7" t="s">
        <v>118</v>
      </c>
      <c r="C37" s="8">
        <v>2</v>
      </c>
      <c r="D37" s="9">
        <v>119.98</v>
      </c>
      <c r="E37" s="8" t="s">
        <v>119</v>
      </c>
      <c r="F37" s="7" t="s">
        <v>1576</v>
      </c>
      <c r="G37" s="10" t="s">
        <v>120</v>
      </c>
      <c r="H37" s="7" t="s">
        <v>1467</v>
      </c>
      <c r="I37" s="7" t="s">
        <v>516</v>
      </c>
      <c r="J37" s="7"/>
      <c r="K37" s="7"/>
      <c r="L37" s="11" t="str">
        <f>HYPERLINK("http://slimages.macys.com/is/image/MCY/18173100 ")</f>
        <v xml:space="preserve">http://slimages.macys.com/is/image/MCY/18173100 </v>
      </c>
    </row>
    <row r="38" spans="1:12" ht="39.950000000000003" customHeight="1" x14ac:dyDescent="0.25">
      <c r="A38" s="6" t="s">
        <v>121</v>
      </c>
      <c r="B38" s="7" t="s">
        <v>122</v>
      </c>
      <c r="C38" s="8">
        <v>1</v>
      </c>
      <c r="D38" s="9">
        <v>29.99</v>
      </c>
      <c r="E38" s="8" t="s">
        <v>123</v>
      </c>
      <c r="F38" s="7" t="s">
        <v>1560</v>
      </c>
      <c r="G38" s="10"/>
      <c r="H38" s="7" t="s">
        <v>1664</v>
      </c>
      <c r="I38" s="7" t="s">
        <v>124</v>
      </c>
      <c r="J38" s="7"/>
      <c r="K38" s="7"/>
      <c r="L38" s="11" t="str">
        <f>HYPERLINK("http://slimages.macys.com/is/image/MCY/17858005 ")</f>
        <v xml:space="preserve">http://slimages.macys.com/is/image/MCY/17858005 </v>
      </c>
    </row>
    <row r="39" spans="1:12" ht="39.950000000000003" customHeight="1" x14ac:dyDescent="0.25">
      <c r="A39" s="6" t="s">
        <v>125</v>
      </c>
      <c r="B39" s="7" t="s">
        <v>126</v>
      </c>
      <c r="C39" s="8">
        <v>1</v>
      </c>
      <c r="D39" s="9">
        <v>19.989999999999998</v>
      </c>
      <c r="E39" s="8" t="s">
        <v>127</v>
      </c>
      <c r="F39" s="7" t="s">
        <v>1651</v>
      </c>
      <c r="G39" s="10"/>
      <c r="H39" s="7" t="s">
        <v>1851</v>
      </c>
      <c r="I39" s="7" t="s">
        <v>128</v>
      </c>
      <c r="J39" s="7" t="s">
        <v>1490</v>
      </c>
      <c r="K39" s="7"/>
      <c r="L39" s="11" t="str">
        <f>HYPERLINK("http://slimages.macys.com/is/image/MCY/8575742 ")</f>
        <v xml:space="preserve">http://slimages.macys.com/is/image/MCY/8575742 </v>
      </c>
    </row>
    <row r="40" spans="1:12" ht="39.950000000000003" customHeight="1" x14ac:dyDescent="0.25">
      <c r="A40" s="6" t="s">
        <v>129</v>
      </c>
      <c r="B40" s="7" t="s">
        <v>130</v>
      </c>
      <c r="C40" s="8">
        <v>1</v>
      </c>
      <c r="D40" s="9">
        <v>17.989999999999998</v>
      </c>
      <c r="E40" s="8">
        <v>63973</v>
      </c>
      <c r="F40" s="7" t="s">
        <v>1458</v>
      </c>
      <c r="G40" s="10" t="s">
        <v>2096</v>
      </c>
      <c r="H40" s="7" t="s">
        <v>1692</v>
      </c>
      <c r="I40" s="7" t="s">
        <v>1969</v>
      </c>
      <c r="J40" s="7" t="s">
        <v>1490</v>
      </c>
      <c r="K40" s="7" t="s">
        <v>131</v>
      </c>
      <c r="L40" s="11" t="str">
        <f>HYPERLINK("http://slimages.macys.com/is/image/MCY/12926398 ")</f>
        <v xml:space="preserve">http://slimages.macys.com/is/image/MCY/12926398 </v>
      </c>
    </row>
    <row r="41" spans="1:12" ht="39.950000000000003" customHeight="1" x14ac:dyDescent="0.25">
      <c r="A41" s="6" t="s">
        <v>132</v>
      </c>
      <c r="B41" s="7" t="s">
        <v>133</v>
      </c>
      <c r="C41" s="8">
        <v>2</v>
      </c>
      <c r="D41" s="9">
        <v>33.979999999999997</v>
      </c>
      <c r="E41" s="8" t="s">
        <v>134</v>
      </c>
      <c r="F41" s="7" t="s">
        <v>1785</v>
      </c>
      <c r="G41" s="10" t="s">
        <v>1577</v>
      </c>
      <c r="H41" s="7" t="s">
        <v>1578</v>
      </c>
      <c r="I41" s="7" t="s">
        <v>1579</v>
      </c>
      <c r="J41" s="7" t="s">
        <v>1461</v>
      </c>
      <c r="K41" s="7" t="s">
        <v>1623</v>
      </c>
      <c r="L41" s="11" t="str">
        <f>HYPERLINK("http://slimages.macys.com/is/image/MCY/12737864 ")</f>
        <v xml:space="preserve">http://slimages.macys.com/is/image/MCY/12737864 </v>
      </c>
    </row>
    <row r="42" spans="1:12" ht="39.950000000000003" customHeight="1" x14ac:dyDescent="0.25">
      <c r="A42" s="6" t="s">
        <v>2163</v>
      </c>
      <c r="B42" s="7" t="s">
        <v>2164</v>
      </c>
      <c r="C42" s="8">
        <v>1</v>
      </c>
      <c r="D42" s="9">
        <v>16.989999999999998</v>
      </c>
      <c r="E42" s="8" t="s">
        <v>2165</v>
      </c>
      <c r="F42" s="7" t="s">
        <v>1821</v>
      </c>
      <c r="G42" s="10" t="s">
        <v>1577</v>
      </c>
      <c r="H42" s="7" t="s">
        <v>1578</v>
      </c>
      <c r="I42" s="7" t="s">
        <v>1579</v>
      </c>
      <c r="J42" s="7" t="s">
        <v>1461</v>
      </c>
      <c r="K42" s="7" t="s">
        <v>1623</v>
      </c>
      <c r="L42" s="11" t="str">
        <f>HYPERLINK("http://slimages.macys.com/is/image/MCY/12737864 ")</f>
        <v xml:space="preserve">http://slimages.macys.com/is/image/MCY/12737864 </v>
      </c>
    </row>
    <row r="43" spans="1:12" ht="39.950000000000003" customHeight="1" x14ac:dyDescent="0.25">
      <c r="A43" s="6" t="s">
        <v>2012</v>
      </c>
      <c r="B43" s="7" t="s">
        <v>2013</v>
      </c>
      <c r="C43" s="8">
        <v>1</v>
      </c>
      <c r="D43" s="9">
        <v>16.989999999999998</v>
      </c>
      <c r="E43" s="8" t="s">
        <v>2014</v>
      </c>
      <c r="F43" s="7" t="s">
        <v>1458</v>
      </c>
      <c r="G43" s="10" t="s">
        <v>1577</v>
      </c>
      <c r="H43" s="7" t="s">
        <v>1578</v>
      </c>
      <c r="I43" s="7" t="s">
        <v>1579</v>
      </c>
      <c r="J43" s="7" t="s">
        <v>1461</v>
      </c>
      <c r="K43" s="7" t="s">
        <v>1623</v>
      </c>
      <c r="L43" s="11" t="str">
        <f>HYPERLINK("http://slimages.macys.com/is/image/MCY/12737864 ")</f>
        <v xml:space="preserve">http://slimages.macys.com/is/image/MCY/12737864 </v>
      </c>
    </row>
    <row r="44" spans="1:12" ht="39.950000000000003" customHeight="1" x14ac:dyDescent="0.25">
      <c r="A44" s="6" t="s">
        <v>1858</v>
      </c>
      <c r="B44" s="7" t="s">
        <v>1859</v>
      </c>
      <c r="C44" s="8">
        <v>2</v>
      </c>
      <c r="D44" s="9">
        <v>33.979999999999997</v>
      </c>
      <c r="E44" s="8" t="s">
        <v>1860</v>
      </c>
      <c r="F44" s="7" t="s">
        <v>1785</v>
      </c>
      <c r="G44" s="10" t="s">
        <v>1577</v>
      </c>
      <c r="H44" s="7" t="s">
        <v>1578</v>
      </c>
      <c r="I44" s="7" t="s">
        <v>1579</v>
      </c>
      <c r="J44" s="7" t="s">
        <v>1461</v>
      </c>
      <c r="K44" s="7" t="s">
        <v>1623</v>
      </c>
      <c r="L44" s="11" t="str">
        <f>HYPERLINK("http://slimages.macys.com/is/image/MCY/12737864 ")</f>
        <v xml:space="preserve">http://slimages.macys.com/is/image/MCY/12737864 </v>
      </c>
    </row>
    <row r="45" spans="1:12" ht="39.950000000000003" customHeight="1" x14ac:dyDescent="0.25">
      <c r="A45" s="6" t="s">
        <v>135</v>
      </c>
      <c r="B45" s="7" t="s">
        <v>136</v>
      </c>
      <c r="C45" s="8">
        <v>1</v>
      </c>
      <c r="D45" s="9">
        <v>39.99</v>
      </c>
      <c r="E45" s="8" t="s">
        <v>137</v>
      </c>
      <c r="F45" s="7" t="s">
        <v>1495</v>
      </c>
      <c r="G45" s="10"/>
      <c r="H45" s="7" t="s">
        <v>1496</v>
      </c>
      <c r="I45" s="7" t="s">
        <v>1526</v>
      </c>
      <c r="J45" s="7" t="s">
        <v>1461</v>
      </c>
      <c r="K45" s="7"/>
      <c r="L45" s="11" t="str">
        <f>HYPERLINK("http://slimages.macys.com/is/image/MCY/8433239 ")</f>
        <v xml:space="preserve">http://slimages.macys.com/is/image/MCY/8433239 </v>
      </c>
    </row>
    <row r="46" spans="1:12" ht="39.950000000000003" customHeight="1" x14ac:dyDescent="0.25">
      <c r="A46" s="6" t="s">
        <v>138</v>
      </c>
      <c r="B46" s="7" t="s">
        <v>139</v>
      </c>
      <c r="C46" s="8">
        <v>1</v>
      </c>
      <c r="D46" s="9">
        <v>12.99</v>
      </c>
      <c r="E46" s="8" t="s">
        <v>140</v>
      </c>
      <c r="F46" s="7" t="s">
        <v>1864</v>
      </c>
      <c r="G46" s="10"/>
      <c r="H46" s="7" t="s">
        <v>1605</v>
      </c>
      <c r="I46" s="7" t="s">
        <v>1822</v>
      </c>
      <c r="J46" s="7"/>
      <c r="K46" s="7"/>
      <c r="L46" s="11" t="str">
        <f>HYPERLINK("http://slimages.macys.com/is/image/MCY/19038775 ")</f>
        <v xml:space="preserve">http://slimages.macys.com/is/image/MCY/19038775 </v>
      </c>
    </row>
    <row r="47" spans="1:12" ht="39.950000000000003" customHeight="1" x14ac:dyDescent="0.25">
      <c r="A47" s="6" t="s">
        <v>141</v>
      </c>
      <c r="B47" s="7" t="s">
        <v>142</v>
      </c>
      <c r="C47" s="8">
        <v>1</v>
      </c>
      <c r="D47" s="9">
        <v>19.989999999999998</v>
      </c>
      <c r="E47" s="8" t="s">
        <v>143</v>
      </c>
      <c r="F47" s="7" t="s">
        <v>1482</v>
      </c>
      <c r="G47" s="10"/>
      <c r="H47" s="7" t="s">
        <v>2217</v>
      </c>
      <c r="I47" s="7" t="s">
        <v>144</v>
      </c>
      <c r="J47" s="7" t="s">
        <v>1508</v>
      </c>
      <c r="K47" s="7" t="s">
        <v>145</v>
      </c>
      <c r="L47" s="11" t="str">
        <f>HYPERLINK("http://slimages.macys.com/is/image/MCY/9898874 ")</f>
        <v xml:space="preserve">http://slimages.macys.com/is/image/MCY/9898874 </v>
      </c>
    </row>
    <row r="48" spans="1:12" ht="39.950000000000003" customHeight="1" x14ac:dyDescent="0.25">
      <c r="A48" s="6" t="s">
        <v>146</v>
      </c>
      <c r="B48" s="7" t="s">
        <v>147</v>
      </c>
      <c r="C48" s="8">
        <v>1</v>
      </c>
      <c r="D48" s="9">
        <v>14.99</v>
      </c>
      <c r="E48" s="8" t="s">
        <v>148</v>
      </c>
      <c r="F48" s="7" t="s">
        <v>2044</v>
      </c>
      <c r="G48" s="10" t="s">
        <v>966</v>
      </c>
      <c r="H48" s="7" t="s">
        <v>1578</v>
      </c>
      <c r="I48" s="7" t="s">
        <v>1622</v>
      </c>
      <c r="J48" s="7" t="s">
        <v>1461</v>
      </c>
      <c r="K48" s="7" t="s">
        <v>1623</v>
      </c>
      <c r="L48" s="11" t="str">
        <f>HYPERLINK("http://slimages.macys.com/is/image/MCY/12723170 ")</f>
        <v xml:space="preserve">http://slimages.macys.com/is/image/MCY/12723170 </v>
      </c>
    </row>
    <row r="49" spans="1:12" ht="39.950000000000003" customHeight="1" x14ac:dyDescent="0.25">
      <c r="A49" s="6" t="s">
        <v>1143</v>
      </c>
      <c r="B49" s="7" t="s">
        <v>1144</v>
      </c>
      <c r="C49" s="8">
        <v>2</v>
      </c>
      <c r="D49" s="9">
        <v>25.98</v>
      </c>
      <c r="E49" s="8" t="s">
        <v>1145</v>
      </c>
      <c r="F49" s="7" t="s">
        <v>1458</v>
      </c>
      <c r="G49" s="10" t="s">
        <v>1644</v>
      </c>
      <c r="H49" s="7" t="s">
        <v>1578</v>
      </c>
      <c r="I49" s="7" t="s">
        <v>1579</v>
      </c>
      <c r="J49" s="7" t="s">
        <v>1461</v>
      </c>
      <c r="K49" s="7" t="s">
        <v>1623</v>
      </c>
      <c r="L49" s="11" t="str">
        <f>HYPERLINK("http://slimages.macys.com/is/image/MCY/12737814 ")</f>
        <v xml:space="preserve">http://slimages.macys.com/is/image/MCY/12737814 </v>
      </c>
    </row>
    <row r="50" spans="1:12" ht="39.950000000000003" customHeight="1" x14ac:dyDescent="0.25">
      <c r="A50" s="6" t="s">
        <v>149</v>
      </c>
      <c r="B50" s="7" t="s">
        <v>150</v>
      </c>
      <c r="C50" s="8">
        <v>1</v>
      </c>
      <c r="D50" s="9">
        <v>12.99</v>
      </c>
      <c r="E50" s="8" t="s">
        <v>151</v>
      </c>
      <c r="F50" s="7" t="s">
        <v>1785</v>
      </c>
      <c r="G50" s="10" t="s">
        <v>1644</v>
      </c>
      <c r="H50" s="7" t="s">
        <v>1578</v>
      </c>
      <c r="I50" s="7" t="s">
        <v>1579</v>
      </c>
      <c r="J50" s="7" t="s">
        <v>1461</v>
      </c>
      <c r="K50" s="7" t="s">
        <v>1623</v>
      </c>
      <c r="L50" s="11" t="str">
        <f>HYPERLINK("http://slimages.macys.com/is/image/MCY/12737814 ")</f>
        <v xml:space="preserve">http://slimages.macys.com/is/image/MCY/12737814 </v>
      </c>
    </row>
    <row r="51" spans="1:12" ht="39.950000000000003" customHeight="1" x14ac:dyDescent="0.25">
      <c r="A51" s="6" t="s">
        <v>1649</v>
      </c>
      <c r="B51" s="7" t="s">
        <v>1650</v>
      </c>
      <c r="C51" s="8">
        <v>11</v>
      </c>
      <c r="D51" s="9">
        <v>440</v>
      </c>
      <c r="E51" s="8"/>
      <c r="F51" s="7" t="s">
        <v>1651</v>
      </c>
      <c r="G51" s="10" t="s">
        <v>1561</v>
      </c>
      <c r="H51" s="7" t="s">
        <v>1652</v>
      </c>
      <c r="I51" s="7" t="s">
        <v>1653</v>
      </c>
      <c r="J51" s="7"/>
      <c r="K51" s="7"/>
      <c r="L51" s="11"/>
    </row>
  </sheetData>
  <phoneticPr fontId="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J5" sqref="J5"/>
    </sheetView>
  </sheetViews>
  <sheetFormatPr defaultRowHeight="39.950000000000003" customHeight="1" x14ac:dyDescent="0.25"/>
  <cols>
    <col min="1" max="1" width="14.28515625" customWidth="1"/>
    <col min="2" max="2" width="39.42578125" customWidth="1"/>
    <col min="3" max="4" width="8.7109375" bestFit="1" customWidth="1"/>
    <col min="5" max="5" width="11" bestFit="1" customWidth="1"/>
    <col min="6" max="6" width="8.85546875" bestFit="1" customWidth="1"/>
    <col min="8" max="8" width="9" bestFit="1" customWidth="1"/>
    <col min="9" max="9" width="16.7109375" bestFit="1" customWidth="1"/>
    <col min="10" max="10" width="12.5703125" bestFit="1" customWidth="1"/>
    <col min="11" max="11" width="33.140625" bestFit="1" customWidth="1"/>
    <col min="12" max="12" width="30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152</v>
      </c>
      <c r="B2" s="7" t="s">
        <v>153</v>
      </c>
      <c r="C2" s="8">
        <v>1</v>
      </c>
      <c r="D2" s="9">
        <v>229.99</v>
      </c>
      <c r="E2" s="8" t="s">
        <v>154</v>
      </c>
      <c r="F2" s="7" t="s">
        <v>970</v>
      </c>
      <c r="G2" s="10"/>
      <c r="H2" s="7" t="s">
        <v>1764</v>
      </c>
      <c r="I2" s="7" t="s">
        <v>1884</v>
      </c>
      <c r="J2" s="7"/>
      <c r="K2" s="7"/>
      <c r="L2" s="11" t="str">
        <f>HYPERLINK("http://slimages.macys.com/is/image/MCY/18651794 ")</f>
        <v xml:space="preserve">http://slimages.macys.com/is/image/MCY/18651794 </v>
      </c>
    </row>
    <row r="3" spans="1:12" ht="39.950000000000003" customHeight="1" x14ac:dyDescent="0.25">
      <c r="A3" s="6" t="s">
        <v>155</v>
      </c>
      <c r="B3" s="7" t="s">
        <v>156</v>
      </c>
      <c r="C3" s="8">
        <v>1</v>
      </c>
      <c r="D3" s="9">
        <v>239.99</v>
      </c>
      <c r="E3" s="8" t="s">
        <v>157</v>
      </c>
      <c r="F3" s="7" t="s">
        <v>1458</v>
      </c>
      <c r="G3" s="10"/>
      <c r="H3" s="7" t="s">
        <v>1467</v>
      </c>
      <c r="I3" s="7" t="s">
        <v>1468</v>
      </c>
      <c r="J3" s="7" t="s">
        <v>1461</v>
      </c>
      <c r="K3" s="7" t="s">
        <v>910</v>
      </c>
      <c r="L3" s="11" t="str">
        <f>HYPERLINK("http://slimages.macys.com/is/image/MCY/9353024 ")</f>
        <v xml:space="preserve">http://slimages.macys.com/is/image/MCY/9353024 </v>
      </c>
    </row>
    <row r="4" spans="1:12" ht="39.950000000000003" customHeight="1" x14ac:dyDescent="0.25">
      <c r="A4" s="6" t="s">
        <v>158</v>
      </c>
      <c r="B4" s="7" t="s">
        <v>159</v>
      </c>
      <c r="C4" s="8">
        <v>1</v>
      </c>
      <c r="D4" s="9">
        <v>199.99</v>
      </c>
      <c r="E4" s="8" t="s">
        <v>160</v>
      </c>
      <c r="F4" s="7" t="s">
        <v>1458</v>
      </c>
      <c r="G4" s="10"/>
      <c r="H4" s="7" t="s">
        <v>1467</v>
      </c>
      <c r="I4" s="7" t="s">
        <v>1473</v>
      </c>
      <c r="J4" s="7" t="s">
        <v>1461</v>
      </c>
      <c r="K4" s="7" t="s">
        <v>1618</v>
      </c>
      <c r="L4" s="11" t="str">
        <f>HYPERLINK("http://slimages.macys.com/is/image/MCY/11953123 ")</f>
        <v xml:space="preserve">http://slimages.macys.com/is/image/MCY/11953123 </v>
      </c>
    </row>
    <row r="5" spans="1:12" ht="39.950000000000003" customHeight="1" x14ac:dyDescent="0.25">
      <c r="A5" s="6" t="s">
        <v>161</v>
      </c>
      <c r="B5" s="7" t="s">
        <v>162</v>
      </c>
      <c r="C5" s="8">
        <v>1</v>
      </c>
      <c r="D5" s="9">
        <v>149.99</v>
      </c>
      <c r="E5" s="8" t="s">
        <v>163</v>
      </c>
      <c r="F5" s="7" t="s">
        <v>1495</v>
      </c>
      <c r="G5" s="10"/>
      <c r="H5" s="7" t="s">
        <v>1545</v>
      </c>
      <c r="I5" s="7" t="s">
        <v>1546</v>
      </c>
      <c r="J5" s="7"/>
      <c r="K5" s="7"/>
      <c r="L5" s="11" t="str">
        <f>HYPERLINK("http://slimages.macys.com/is/image/MCY/18221334 ")</f>
        <v xml:space="preserve">http://slimages.macys.com/is/image/MCY/18221334 </v>
      </c>
    </row>
    <row r="6" spans="1:12" ht="39.950000000000003" customHeight="1" x14ac:dyDescent="0.25">
      <c r="A6" s="6" t="s">
        <v>164</v>
      </c>
      <c r="B6" s="7" t="s">
        <v>165</v>
      </c>
      <c r="C6" s="8">
        <v>1</v>
      </c>
      <c r="D6" s="9">
        <v>139.99</v>
      </c>
      <c r="E6" s="8" t="s">
        <v>166</v>
      </c>
      <c r="F6" s="7" t="s">
        <v>1458</v>
      </c>
      <c r="G6" s="10"/>
      <c r="H6" s="7" t="s">
        <v>1496</v>
      </c>
      <c r="I6" s="7" t="s">
        <v>1526</v>
      </c>
      <c r="J6" s="7"/>
      <c r="K6" s="7"/>
      <c r="L6" s="11" t="str">
        <f>HYPERLINK("http://slimages.macys.com/is/image/MCY/8389257 ")</f>
        <v xml:space="preserve">http://slimages.macys.com/is/image/MCY/8389257 </v>
      </c>
    </row>
    <row r="7" spans="1:12" ht="39.950000000000003" customHeight="1" x14ac:dyDescent="0.25">
      <c r="A7" s="6" t="s">
        <v>167</v>
      </c>
      <c r="B7" s="7" t="s">
        <v>168</v>
      </c>
      <c r="C7" s="8">
        <v>1</v>
      </c>
      <c r="D7" s="9">
        <v>89.99</v>
      </c>
      <c r="E7" s="8" t="s">
        <v>169</v>
      </c>
      <c r="F7" s="7" t="s">
        <v>1554</v>
      </c>
      <c r="G7" s="10"/>
      <c r="H7" s="7" t="s">
        <v>918</v>
      </c>
      <c r="I7" s="7" t="s">
        <v>170</v>
      </c>
      <c r="J7" s="7" t="s">
        <v>1461</v>
      </c>
      <c r="K7" s="7" t="s">
        <v>1527</v>
      </c>
      <c r="L7" s="11" t="str">
        <f>HYPERLINK("http://slimages.macys.com/is/image/MCY/12043987 ")</f>
        <v xml:space="preserve">http://slimages.macys.com/is/image/MCY/12043987 </v>
      </c>
    </row>
    <row r="8" spans="1:12" ht="39.950000000000003" customHeight="1" x14ac:dyDescent="0.25">
      <c r="A8" s="6" t="s">
        <v>171</v>
      </c>
      <c r="B8" s="7" t="s">
        <v>172</v>
      </c>
      <c r="C8" s="8">
        <v>1</v>
      </c>
      <c r="D8" s="9">
        <v>149.99</v>
      </c>
      <c r="E8" s="8" t="s">
        <v>173</v>
      </c>
      <c r="F8" s="7" t="s">
        <v>1519</v>
      </c>
      <c r="G8" s="10"/>
      <c r="H8" s="7" t="s">
        <v>1545</v>
      </c>
      <c r="I8" s="7" t="s">
        <v>1546</v>
      </c>
      <c r="J8" s="7" t="s">
        <v>1461</v>
      </c>
      <c r="K8" s="7" t="s">
        <v>837</v>
      </c>
      <c r="L8" s="11" t="str">
        <f>HYPERLINK("http://slimages.macys.com/is/image/MCY/16633327 ")</f>
        <v xml:space="preserve">http://slimages.macys.com/is/image/MCY/16633327 </v>
      </c>
    </row>
    <row r="9" spans="1:12" ht="39.950000000000003" customHeight="1" x14ac:dyDescent="0.25">
      <c r="A9" s="6" t="s">
        <v>174</v>
      </c>
      <c r="B9" s="7" t="s">
        <v>175</v>
      </c>
      <c r="C9" s="8">
        <v>2</v>
      </c>
      <c r="D9" s="9">
        <v>199.98</v>
      </c>
      <c r="E9" s="8">
        <v>15311115</v>
      </c>
      <c r="F9" s="7" t="s">
        <v>1519</v>
      </c>
      <c r="G9" s="10" t="s">
        <v>1691</v>
      </c>
      <c r="H9" s="7" t="s">
        <v>1692</v>
      </c>
      <c r="I9" s="7" t="s">
        <v>176</v>
      </c>
      <c r="J9" s="7" t="s">
        <v>997</v>
      </c>
      <c r="K9" s="7" t="s">
        <v>177</v>
      </c>
      <c r="L9" s="11" t="str">
        <f>HYPERLINK("http://slimages.macys.com/is/image/MCY/3899940 ")</f>
        <v xml:space="preserve">http://slimages.macys.com/is/image/MCY/3899940 </v>
      </c>
    </row>
    <row r="10" spans="1:12" ht="39.950000000000003" customHeight="1" x14ac:dyDescent="0.25">
      <c r="A10" s="6" t="s">
        <v>178</v>
      </c>
      <c r="B10" s="7" t="s">
        <v>179</v>
      </c>
      <c r="C10" s="8">
        <v>1</v>
      </c>
      <c r="D10" s="9">
        <v>109.99</v>
      </c>
      <c r="E10" s="8" t="s">
        <v>180</v>
      </c>
      <c r="F10" s="7" t="s">
        <v>1560</v>
      </c>
      <c r="G10" s="10"/>
      <c r="H10" s="7" t="s">
        <v>1664</v>
      </c>
      <c r="I10" s="7" t="s">
        <v>1521</v>
      </c>
      <c r="J10" s="7" t="s">
        <v>1461</v>
      </c>
      <c r="K10" s="7" t="s">
        <v>1564</v>
      </c>
      <c r="L10" s="11" t="str">
        <f>HYPERLINK("http://slimages.macys.com/is/image/MCY/15602452 ")</f>
        <v xml:space="preserve">http://slimages.macys.com/is/image/MCY/15602452 </v>
      </c>
    </row>
    <row r="11" spans="1:12" ht="39.950000000000003" customHeight="1" x14ac:dyDescent="0.25">
      <c r="A11" s="6" t="s">
        <v>181</v>
      </c>
      <c r="B11" s="7" t="s">
        <v>182</v>
      </c>
      <c r="C11" s="8">
        <v>1</v>
      </c>
      <c r="D11" s="9">
        <v>99.99</v>
      </c>
      <c r="E11" s="8">
        <v>15313115</v>
      </c>
      <c r="F11" s="7" t="s">
        <v>1519</v>
      </c>
      <c r="G11" s="10" t="s">
        <v>1691</v>
      </c>
      <c r="H11" s="7" t="s">
        <v>1692</v>
      </c>
      <c r="I11" s="7" t="s">
        <v>176</v>
      </c>
      <c r="J11" s="7" t="s">
        <v>997</v>
      </c>
      <c r="K11" s="7" t="s">
        <v>183</v>
      </c>
      <c r="L11" s="11" t="str">
        <f>HYPERLINK("http://slimages.macys.com/is/image/MCY/9275116 ")</f>
        <v xml:space="preserve">http://slimages.macys.com/is/image/MCY/9275116 </v>
      </c>
    </row>
    <row r="12" spans="1:12" ht="39.950000000000003" customHeight="1" x14ac:dyDescent="0.25">
      <c r="A12" s="6" t="s">
        <v>184</v>
      </c>
      <c r="B12" s="7" t="s">
        <v>185</v>
      </c>
      <c r="C12" s="8">
        <v>1</v>
      </c>
      <c r="D12" s="9">
        <v>77.989999999999995</v>
      </c>
      <c r="E12" s="8" t="s">
        <v>186</v>
      </c>
      <c r="F12" s="7" t="s">
        <v>1554</v>
      </c>
      <c r="G12" s="10"/>
      <c r="H12" s="7" t="s">
        <v>1506</v>
      </c>
      <c r="I12" s="7" t="s">
        <v>1521</v>
      </c>
      <c r="J12" s="7" t="s">
        <v>1461</v>
      </c>
      <c r="K12" s="7" t="s">
        <v>187</v>
      </c>
      <c r="L12" s="11" t="str">
        <f>HYPERLINK("http://slimages.macys.com/is/image/MCY/12056510 ")</f>
        <v xml:space="preserve">http://slimages.macys.com/is/image/MCY/12056510 </v>
      </c>
    </row>
    <row r="13" spans="1:12" ht="39.950000000000003" customHeight="1" x14ac:dyDescent="0.25">
      <c r="A13" s="6" t="s">
        <v>188</v>
      </c>
      <c r="B13" s="7" t="s">
        <v>189</v>
      </c>
      <c r="C13" s="8">
        <v>1</v>
      </c>
      <c r="D13" s="9">
        <v>129.99</v>
      </c>
      <c r="E13" s="8" t="s">
        <v>190</v>
      </c>
      <c r="F13" s="7" t="s">
        <v>1458</v>
      </c>
      <c r="G13" s="10"/>
      <c r="H13" s="7" t="s">
        <v>1496</v>
      </c>
      <c r="I13" s="7" t="s">
        <v>1526</v>
      </c>
      <c r="J13" s="7" t="s">
        <v>1461</v>
      </c>
      <c r="K13" s="7" t="s">
        <v>1527</v>
      </c>
      <c r="L13" s="11" t="str">
        <f>HYPERLINK("http://slimages.macys.com/is/image/MCY/11607139 ")</f>
        <v xml:space="preserve">http://slimages.macys.com/is/image/MCY/11607139 </v>
      </c>
    </row>
    <row r="14" spans="1:12" ht="39.950000000000003" customHeight="1" x14ac:dyDescent="0.25">
      <c r="A14" s="6" t="s">
        <v>191</v>
      </c>
      <c r="B14" s="7" t="s">
        <v>192</v>
      </c>
      <c r="C14" s="8">
        <v>1</v>
      </c>
      <c r="D14" s="9">
        <v>101.99</v>
      </c>
      <c r="E14" s="8">
        <v>2011300001</v>
      </c>
      <c r="F14" s="7" t="s">
        <v>1458</v>
      </c>
      <c r="G14" s="10" t="s">
        <v>1941</v>
      </c>
      <c r="H14" s="7" t="s">
        <v>1506</v>
      </c>
      <c r="I14" s="7" t="s">
        <v>193</v>
      </c>
      <c r="J14" s="7"/>
      <c r="K14" s="7"/>
      <c r="L14" s="11" t="str">
        <f>HYPERLINK("http://slimages.macys.com/is/image/MCY/17042697 ")</f>
        <v xml:space="preserve">http://slimages.macys.com/is/image/MCY/17042697 </v>
      </c>
    </row>
    <row r="15" spans="1:12" ht="39.950000000000003" customHeight="1" x14ac:dyDescent="0.25">
      <c r="A15" s="6" t="s">
        <v>194</v>
      </c>
      <c r="B15" s="7" t="s">
        <v>195</v>
      </c>
      <c r="C15" s="8">
        <v>1</v>
      </c>
      <c r="D15" s="9">
        <v>66.989999999999995</v>
      </c>
      <c r="E15" s="8" t="s">
        <v>196</v>
      </c>
      <c r="F15" s="7" t="s">
        <v>1458</v>
      </c>
      <c r="G15" s="10"/>
      <c r="H15" s="7" t="s">
        <v>1628</v>
      </c>
      <c r="I15" s="7" t="s">
        <v>1588</v>
      </c>
      <c r="J15" s="7" t="s">
        <v>1461</v>
      </c>
      <c r="K15" s="7" t="s">
        <v>1618</v>
      </c>
      <c r="L15" s="11" t="str">
        <f>HYPERLINK("http://slimages.macys.com/is/image/MCY/14633773 ")</f>
        <v xml:space="preserve">http://slimages.macys.com/is/image/MCY/14633773 </v>
      </c>
    </row>
    <row r="16" spans="1:12" ht="39.950000000000003" customHeight="1" x14ac:dyDescent="0.25">
      <c r="A16" s="6" t="s">
        <v>197</v>
      </c>
      <c r="B16" s="7" t="s">
        <v>198</v>
      </c>
      <c r="C16" s="8">
        <v>1</v>
      </c>
      <c r="D16" s="9">
        <v>73.989999999999995</v>
      </c>
      <c r="E16" s="8" t="s">
        <v>199</v>
      </c>
      <c r="F16" s="7" t="s">
        <v>2440</v>
      </c>
      <c r="G16" s="10" t="s">
        <v>2241</v>
      </c>
      <c r="H16" s="7" t="s">
        <v>1506</v>
      </c>
      <c r="I16" s="7" t="s">
        <v>200</v>
      </c>
      <c r="J16" s="7" t="s">
        <v>1461</v>
      </c>
      <c r="K16" s="7" t="s">
        <v>1623</v>
      </c>
      <c r="L16" s="11" t="str">
        <f>HYPERLINK("http://slimages.macys.com/is/image/MCY/14319704 ")</f>
        <v xml:space="preserve">http://slimages.macys.com/is/image/MCY/14319704 </v>
      </c>
    </row>
    <row r="17" spans="1:12" ht="39.950000000000003" customHeight="1" x14ac:dyDescent="0.25">
      <c r="A17" s="6" t="s">
        <v>201</v>
      </c>
      <c r="B17" s="7" t="s">
        <v>202</v>
      </c>
      <c r="C17" s="8">
        <v>1</v>
      </c>
      <c r="D17" s="9">
        <v>49.99</v>
      </c>
      <c r="E17" s="8" t="s">
        <v>203</v>
      </c>
      <c r="F17" s="7" t="s">
        <v>1785</v>
      </c>
      <c r="G17" s="10"/>
      <c r="H17" s="7" t="s">
        <v>1483</v>
      </c>
      <c r="I17" s="7" t="s">
        <v>1484</v>
      </c>
      <c r="J17" s="7" t="s">
        <v>1461</v>
      </c>
      <c r="K17" s="7" t="s">
        <v>1623</v>
      </c>
      <c r="L17" s="11" t="str">
        <f>HYPERLINK("http://slimages.macys.com/is/image/MCY/15396687 ")</f>
        <v xml:space="preserve">http://slimages.macys.com/is/image/MCY/15396687 </v>
      </c>
    </row>
    <row r="18" spans="1:12" ht="39.950000000000003" customHeight="1" x14ac:dyDescent="0.25">
      <c r="A18" s="6" t="s">
        <v>204</v>
      </c>
      <c r="B18" s="7" t="s">
        <v>205</v>
      </c>
      <c r="C18" s="8">
        <v>1</v>
      </c>
      <c r="D18" s="9">
        <v>49.99</v>
      </c>
      <c r="E18" s="8" t="s">
        <v>206</v>
      </c>
      <c r="F18" s="7" t="s">
        <v>1560</v>
      </c>
      <c r="G18" s="10"/>
      <c r="H18" s="7" t="s">
        <v>1483</v>
      </c>
      <c r="I18" s="7" t="s">
        <v>1484</v>
      </c>
      <c r="J18" s="7" t="s">
        <v>1461</v>
      </c>
      <c r="K18" s="7" t="s">
        <v>1623</v>
      </c>
      <c r="L18" s="11" t="str">
        <f>HYPERLINK("http://slimages.macys.com/is/image/MCY/15396687 ")</f>
        <v xml:space="preserve">http://slimages.macys.com/is/image/MCY/15396687 </v>
      </c>
    </row>
    <row r="19" spans="1:12" ht="39.950000000000003" customHeight="1" x14ac:dyDescent="0.25">
      <c r="A19" s="6" t="s">
        <v>207</v>
      </c>
      <c r="B19" s="7" t="s">
        <v>208</v>
      </c>
      <c r="C19" s="8">
        <v>1</v>
      </c>
      <c r="D19" s="9">
        <v>49.99</v>
      </c>
      <c r="E19" s="8">
        <v>22243122</v>
      </c>
      <c r="F19" s="7" t="s">
        <v>1762</v>
      </c>
      <c r="G19" s="10"/>
      <c r="H19" s="7" t="s">
        <v>1664</v>
      </c>
      <c r="I19" s="7" t="s">
        <v>1556</v>
      </c>
      <c r="J19" s="7" t="s">
        <v>1461</v>
      </c>
      <c r="K19" s="7" t="s">
        <v>1564</v>
      </c>
      <c r="L19" s="11" t="str">
        <f>HYPERLINK("http://slimages.macys.com/is/image/MCY/16688665 ")</f>
        <v xml:space="preserve">http://slimages.macys.com/is/image/MCY/16688665 </v>
      </c>
    </row>
    <row r="20" spans="1:12" ht="39.950000000000003" customHeight="1" x14ac:dyDescent="0.25">
      <c r="A20" s="6" t="s">
        <v>209</v>
      </c>
      <c r="B20" s="7" t="s">
        <v>210</v>
      </c>
      <c r="C20" s="8">
        <v>1</v>
      </c>
      <c r="D20" s="9">
        <v>49.99</v>
      </c>
      <c r="E20" s="8" t="s">
        <v>211</v>
      </c>
      <c r="F20" s="7"/>
      <c r="G20" s="10"/>
      <c r="H20" s="7" t="s">
        <v>1664</v>
      </c>
      <c r="I20" s="7" t="s">
        <v>1588</v>
      </c>
      <c r="J20" s="7"/>
      <c r="K20" s="7"/>
      <c r="L20" s="11" t="str">
        <f>HYPERLINK("http://slimages.macys.com/is/image/MCY/18717308 ")</f>
        <v xml:space="preserve">http://slimages.macys.com/is/image/MCY/18717308 </v>
      </c>
    </row>
    <row r="21" spans="1:12" ht="39.950000000000003" customHeight="1" x14ac:dyDescent="0.25">
      <c r="A21" s="6" t="s">
        <v>212</v>
      </c>
      <c r="B21" s="7" t="s">
        <v>213</v>
      </c>
      <c r="C21" s="8">
        <v>1</v>
      </c>
      <c r="D21" s="9">
        <v>99.99</v>
      </c>
      <c r="E21" s="8" t="s">
        <v>214</v>
      </c>
      <c r="F21" s="7" t="s">
        <v>1458</v>
      </c>
      <c r="G21" s="10" t="s">
        <v>2096</v>
      </c>
      <c r="H21" s="7" t="s">
        <v>1851</v>
      </c>
      <c r="I21" s="7" t="s">
        <v>1489</v>
      </c>
      <c r="J21" s="7" t="s">
        <v>997</v>
      </c>
      <c r="K21" s="7"/>
      <c r="L21" s="11" t="str">
        <f>HYPERLINK("http://slimages.macys.com/is/image/MCY/12779303 ")</f>
        <v xml:space="preserve">http://slimages.macys.com/is/image/MCY/12779303 </v>
      </c>
    </row>
    <row r="22" spans="1:12" ht="39.950000000000003" customHeight="1" x14ac:dyDescent="0.25">
      <c r="A22" s="6" t="s">
        <v>215</v>
      </c>
      <c r="B22" s="7" t="s">
        <v>216</v>
      </c>
      <c r="C22" s="8">
        <v>1</v>
      </c>
      <c r="D22" s="9">
        <v>39.99</v>
      </c>
      <c r="E22" s="8">
        <v>130114</v>
      </c>
      <c r="F22" s="7" t="s">
        <v>1576</v>
      </c>
      <c r="G22" s="10" t="s">
        <v>1466</v>
      </c>
      <c r="H22" s="7" t="s">
        <v>1562</v>
      </c>
      <c r="I22" s="7" t="s">
        <v>1842</v>
      </c>
      <c r="J22" s="7" t="s">
        <v>1461</v>
      </c>
      <c r="K22" s="7" t="s">
        <v>1843</v>
      </c>
      <c r="L22" s="11" t="str">
        <f>HYPERLINK("http://slimages.macys.com/is/image/MCY/3895749 ")</f>
        <v xml:space="preserve">http://slimages.macys.com/is/image/MCY/3895749 </v>
      </c>
    </row>
    <row r="23" spans="1:12" ht="39.950000000000003" customHeight="1" x14ac:dyDescent="0.25">
      <c r="A23" s="6" t="s">
        <v>217</v>
      </c>
      <c r="B23" s="7" t="s">
        <v>218</v>
      </c>
      <c r="C23" s="8">
        <v>1</v>
      </c>
      <c r="D23" s="9">
        <v>39.99</v>
      </c>
      <c r="E23" s="8" t="s">
        <v>219</v>
      </c>
      <c r="F23" s="7" t="s">
        <v>1495</v>
      </c>
      <c r="G23" s="10" t="s">
        <v>2334</v>
      </c>
      <c r="H23" s="7" t="s">
        <v>1532</v>
      </c>
      <c r="I23" s="7" t="s">
        <v>1533</v>
      </c>
      <c r="J23" s="7" t="s">
        <v>1461</v>
      </c>
      <c r="K23" s="7" t="s">
        <v>1618</v>
      </c>
      <c r="L23" s="11" t="str">
        <f>HYPERLINK("http://slimages.macys.com/is/image/MCY/9508585 ")</f>
        <v xml:space="preserve">http://slimages.macys.com/is/image/MCY/9508585 </v>
      </c>
    </row>
    <row r="24" spans="1:12" ht="39.950000000000003" customHeight="1" x14ac:dyDescent="0.25">
      <c r="A24" s="6" t="s">
        <v>220</v>
      </c>
      <c r="B24" s="7" t="s">
        <v>221</v>
      </c>
      <c r="C24" s="8">
        <v>1</v>
      </c>
      <c r="D24" s="9">
        <v>79.989999999999995</v>
      </c>
      <c r="E24" s="8" t="s">
        <v>222</v>
      </c>
      <c r="F24" s="7" t="s">
        <v>1549</v>
      </c>
      <c r="G24" s="10" t="s">
        <v>2096</v>
      </c>
      <c r="H24" s="7" t="s">
        <v>1467</v>
      </c>
      <c r="I24" s="7" t="s">
        <v>1751</v>
      </c>
      <c r="J24" s="7"/>
      <c r="K24" s="7"/>
      <c r="L24" s="11" t="str">
        <f>HYPERLINK("http://slimages.macys.com/is/image/MCY/17531798 ")</f>
        <v xml:space="preserve">http://slimages.macys.com/is/image/MCY/17531798 </v>
      </c>
    </row>
    <row r="25" spans="1:12" ht="39.950000000000003" customHeight="1" x14ac:dyDescent="0.25">
      <c r="A25" s="6" t="s">
        <v>223</v>
      </c>
      <c r="B25" s="7" t="s">
        <v>224</v>
      </c>
      <c r="C25" s="8">
        <v>1</v>
      </c>
      <c r="D25" s="9">
        <v>30</v>
      </c>
      <c r="E25" s="8" t="s">
        <v>225</v>
      </c>
      <c r="F25" s="7" t="s">
        <v>1519</v>
      </c>
      <c r="G25" s="10" t="s">
        <v>226</v>
      </c>
      <c r="H25" s="7" t="s">
        <v>1483</v>
      </c>
      <c r="I25" s="7" t="s">
        <v>1484</v>
      </c>
      <c r="J25" s="7" t="s">
        <v>1461</v>
      </c>
      <c r="K25" s="7"/>
      <c r="L25" s="11" t="str">
        <f>HYPERLINK("http://slimages.macys.com/is/image/MCY/9418199 ")</f>
        <v xml:space="preserve">http://slimages.macys.com/is/image/MCY/9418199 </v>
      </c>
    </row>
    <row r="26" spans="1:12" ht="39.950000000000003" customHeight="1" x14ac:dyDescent="0.25">
      <c r="A26" s="6" t="s">
        <v>227</v>
      </c>
      <c r="B26" s="7" t="s">
        <v>228</v>
      </c>
      <c r="C26" s="8">
        <v>1</v>
      </c>
      <c r="D26" s="9">
        <v>49.99</v>
      </c>
      <c r="E26" s="8" t="s">
        <v>229</v>
      </c>
      <c r="F26" s="7" t="s">
        <v>1651</v>
      </c>
      <c r="G26" s="10" t="s">
        <v>1850</v>
      </c>
      <c r="H26" s="7" t="s">
        <v>1851</v>
      </c>
      <c r="I26" s="7" t="s">
        <v>1852</v>
      </c>
      <c r="J26" s="7" t="s">
        <v>1600</v>
      </c>
      <c r="K26" s="7" t="s">
        <v>108</v>
      </c>
      <c r="L26" s="11" t="str">
        <f>HYPERLINK("http://slimages.macys.com/is/image/MCY/256335 ")</f>
        <v xml:space="preserve">http://slimages.macys.com/is/image/MCY/256335 </v>
      </c>
    </row>
    <row r="27" spans="1:12" ht="39.950000000000003" customHeight="1" x14ac:dyDescent="0.25">
      <c r="A27" s="6" t="s">
        <v>230</v>
      </c>
      <c r="B27" s="7" t="s">
        <v>231</v>
      </c>
      <c r="C27" s="8">
        <v>1</v>
      </c>
      <c r="D27" s="9">
        <v>29.99</v>
      </c>
      <c r="E27" s="8" t="s">
        <v>232</v>
      </c>
      <c r="F27" s="7" t="s">
        <v>1597</v>
      </c>
      <c r="G27" s="10"/>
      <c r="H27" s="7" t="s">
        <v>1664</v>
      </c>
      <c r="I27" s="7" t="s">
        <v>1556</v>
      </c>
      <c r="J27" s="7" t="s">
        <v>1461</v>
      </c>
      <c r="K27" s="7" t="s">
        <v>1716</v>
      </c>
      <c r="L27" s="11" t="str">
        <f>HYPERLINK("http://slimages.macys.com/is/image/MCY/9700679 ")</f>
        <v xml:space="preserve">http://slimages.macys.com/is/image/MCY/9700679 </v>
      </c>
    </row>
    <row r="28" spans="1:12" ht="39.950000000000003" customHeight="1" x14ac:dyDescent="0.25">
      <c r="A28" s="6" t="s">
        <v>233</v>
      </c>
      <c r="B28" s="7" t="s">
        <v>234</v>
      </c>
      <c r="C28" s="8">
        <v>1</v>
      </c>
      <c r="D28" s="9">
        <v>32.99</v>
      </c>
      <c r="E28" s="8" t="s">
        <v>235</v>
      </c>
      <c r="F28" s="7" t="s">
        <v>1785</v>
      </c>
      <c r="G28" s="10" t="s">
        <v>236</v>
      </c>
      <c r="H28" s="7" t="s">
        <v>1664</v>
      </c>
      <c r="I28" s="7" t="s">
        <v>2156</v>
      </c>
      <c r="J28" s="7" t="s">
        <v>1461</v>
      </c>
      <c r="K28" s="7" t="s">
        <v>1564</v>
      </c>
      <c r="L28" s="11" t="str">
        <f>HYPERLINK("http://slimages.macys.com/is/image/MCY/13744188 ")</f>
        <v xml:space="preserve">http://slimages.macys.com/is/image/MCY/13744188 </v>
      </c>
    </row>
    <row r="29" spans="1:12" ht="39.950000000000003" customHeight="1" x14ac:dyDescent="0.25">
      <c r="A29" s="6" t="s">
        <v>237</v>
      </c>
      <c r="B29" s="7" t="s">
        <v>238</v>
      </c>
      <c r="C29" s="8">
        <v>1</v>
      </c>
      <c r="D29" s="9">
        <v>29.99</v>
      </c>
      <c r="E29" s="8" t="s">
        <v>239</v>
      </c>
      <c r="F29" s="7" t="s">
        <v>1651</v>
      </c>
      <c r="G29" s="10"/>
      <c r="H29" s="7" t="s">
        <v>1851</v>
      </c>
      <c r="I29" s="7" t="s">
        <v>2148</v>
      </c>
      <c r="J29" s="7" t="s">
        <v>1490</v>
      </c>
      <c r="K29" s="7"/>
      <c r="L29" s="11" t="str">
        <f>HYPERLINK("http://slimages.macys.com/is/image/MCY/9555756 ")</f>
        <v xml:space="preserve">http://slimages.macys.com/is/image/MCY/9555756 </v>
      </c>
    </row>
    <row r="30" spans="1:12" ht="39.950000000000003" customHeight="1" x14ac:dyDescent="0.25">
      <c r="A30" s="6" t="s">
        <v>240</v>
      </c>
      <c r="B30" s="7" t="s">
        <v>241</v>
      </c>
      <c r="C30" s="8">
        <v>1</v>
      </c>
      <c r="D30" s="9">
        <v>24.99</v>
      </c>
      <c r="E30" s="8" t="s">
        <v>242</v>
      </c>
      <c r="F30" s="7" t="s">
        <v>1458</v>
      </c>
      <c r="G30" s="10"/>
      <c r="H30" s="7" t="s">
        <v>1851</v>
      </c>
      <c r="I30" s="7" t="s">
        <v>1489</v>
      </c>
      <c r="J30" s="7"/>
      <c r="K30" s="7"/>
      <c r="L30" s="11" t="str">
        <f>HYPERLINK("http://slimages.macys.com/is/image/MCY/18716094 ")</f>
        <v xml:space="preserve">http://slimages.macys.com/is/image/MCY/18716094 </v>
      </c>
    </row>
    <row r="31" spans="1:12" ht="39.950000000000003" customHeight="1" x14ac:dyDescent="0.25">
      <c r="A31" s="6" t="s">
        <v>243</v>
      </c>
      <c r="B31" s="7" t="s">
        <v>244</v>
      </c>
      <c r="C31" s="8">
        <v>4</v>
      </c>
      <c r="D31" s="9">
        <v>55.96</v>
      </c>
      <c r="E31" s="8" t="s">
        <v>245</v>
      </c>
      <c r="F31" s="7" t="s">
        <v>1877</v>
      </c>
      <c r="G31" s="10" t="s">
        <v>1561</v>
      </c>
      <c r="H31" s="7" t="s">
        <v>1506</v>
      </c>
      <c r="I31" s="7" t="s">
        <v>2011</v>
      </c>
      <c r="J31" s="7" t="s">
        <v>1461</v>
      </c>
      <c r="K31" s="7"/>
      <c r="L31" s="11" t="str">
        <f>HYPERLINK("http://slimages.macys.com/is/image/MCY/8609250 ")</f>
        <v xml:space="preserve">http://slimages.macys.com/is/image/MCY/8609250 </v>
      </c>
    </row>
    <row r="32" spans="1:12" ht="39.950000000000003" customHeight="1" x14ac:dyDescent="0.25">
      <c r="A32" s="6" t="s">
        <v>1143</v>
      </c>
      <c r="B32" s="7" t="s">
        <v>1144</v>
      </c>
      <c r="C32" s="8">
        <v>1</v>
      </c>
      <c r="D32" s="9">
        <v>12.99</v>
      </c>
      <c r="E32" s="8" t="s">
        <v>1145</v>
      </c>
      <c r="F32" s="7" t="s">
        <v>1458</v>
      </c>
      <c r="G32" s="10" t="s">
        <v>1644</v>
      </c>
      <c r="H32" s="7" t="s">
        <v>1578</v>
      </c>
      <c r="I32" s="7" t="s">
        <v>1579</v>
      </c>
      <c r="J32" s="7" t="s">
        <v>1461</v>
      </c>
      <c r="K32" s="7" t="s">
        <v>1623</v>
      </c>
      <c r="L32" s="11" t="str">
        <f>HYPERLINK("http://slimages.macys.com/is/image/MCY/12737814 ")</f>
        <v xml:space="preserve">http://slimages.macys.com/is/image/MCY/12737814 </v>
      </c>
    </row>
    <row r="33" spans="1:12" ht="39.950000000000003" customHeight="1" x14ac:dyDescent="0.25">
      <c r="A33" s="6" t="s">
        <v>1649</v>
      </c>
      <c r="B33" s="7" t="s">
        <v>1650</v>
      </c>
      <c r="C33" s="8">
        <v>8</v>
      </c>
      <c r="D33" s="9">
        <v>320</v>
      </c>
      <c r="E33" s="8"/>
      <c r="F33" s="7" t="s">
        <v>1651</v>
      </c>
      <c r="G33" s="10" t="s">
        <v>1561</v>
      </c>
      <c r="H33" s="7" t="s">
        <v>1652</v>
      </c>
      <c r="I33" s="7" t="s">
        <v>1653</v>
      </c>
      <c r="J33" s="7"/>
      <c r="K33" s="7"/>
      <c r="L33" s="11"/>
    </row>
  </sheetData>
  <phoneticPr fontId="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sqref="A1:L49"/>
    </sheetView>
  </sheetViews>
  <sheetFormatPr defaultRowHeight="15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246</v>
      </c>
      <c r="B2" s="7" t="s">
        <v>247</v>
      </c>
      <c r="C2" s="8">
        <v>1</v>
      </c>
      <c r="D2" s="9">
        <v>349.99</v>
      </c>
      <c r="E2" s="8" t="s">
        <v>248</v>
      </c>
      <c r="F2" s="7" t="s">
        <v>2187</v>
      </c>
      <c r="G2" s="10"/>
      <c r="H2" s="7" t="s">
        <v>1764</v>
      </c>
      <c r="I2" s="7" t="s">
        <v>1884</v>
      </c>
      <c r="J2" s="7" t="s">
        <v>1461</v>
      </c>
      <c r="K2" s="7" t="s">
        <v>1729</v>
      </c>
      <c r="L2" s="11" t="str">
        <f>HYPERLINK("http://slimages.macys.com/is/image/MCY/11515718 ")</f>
        <v xml:space="preserve">http://slimages.macys.com/is/image/MCY/11515718 </v>
      </c>
    </row>
    <row r="3" spans="1:12" ht="39.950000000000003" customHeight="1" x14ac:dyDescent="0.25">
      <c r="A3" s="6" t="s">
        <v>249</v>
      </c>
      <c r="B3" s="7" t="s">
        <v>250</v>
      </c>
      <c r="C3" s="8">
        <v>1</v>
      </c>
      <c r="D3" s="9">
        <v>329.99</v>
      </c>
      <c r="E3" s="8" t="s">
        <v>251</v>
      </c>
      <c r="F3" s="7" t="s">
        <v>970</v>
      </c>
      <c r="G3" s="10"/>
      <c r="H3" s="7" t="s">
        <v>1764</v>
      </c>
      <c r="I3" s="7" t="s">
        <v>1884</v>
      </c>
      <c r="J3" s="7"/>
      <c r="K3" s="7"/>
      <c r="L3" s="11" t="str">
        <f>HYPERLINK("http://slimages.macys.com/is/image/MCY/18084941 ")</f>
        <v xml:space="preserve">http://slimages.macys.com/is/image/MCY/18084941 </v>
      </c>
    </row>
    <row r="4" spans="1:12" ht="39.950000000000003" customHeight="1" x14ac:dyDescent="0.25">
      <c r="A4" s="6" t="s">
        <v>252</v>
      </c>
      <c r="B4" s="7" t="s">
        <v>253</v>
      </c>
      <c r="C4" s="8">
        <v>1</v>
      </c>
      <c r="D4" s="9">
        <v>199.99</v>
      </c>
      <c r="E4" s="8">
        <v>61533</v>
      </c>
      <c r="F4" s="7" t="s">
        <v>1458</v>
      </c>
      <c r="G4" s="10"/>
      <c r="H4" s="7" t="s">
        <v>1692</v>
      </c>
      <c r="I4" s="7" t="s">
        <v>1969</v>
      </c>
      <c r="J4" s="7" t="s">
        <v>1461</v>
      </c>
      <c r="K4" s="7" t="s">
        <v>1564</v>
      </c>
      <c r="L4" s="11" t="str">
        <f>HYPERLINK("http://slimages.macys.com/is/image/MCY/15866377 ")</f>
        <v xml:space="preserve">http://slimages.macys.com/is/image/MCY/15866377 </v>
      </c>
    </row>
    <row r="5" spans="1:12" ht="39.950000000000003" customHeight="1" x14ac:dyDescent="0.25">
      <c r="A5" s="6" t="s">
        <v>254</v>
      </c>
      <c r="B5" s="7" t="s">
        <v>255</v>
      </c>
      <c r="C5" s="8">
        <v>1</v>
      </c>
      <c r="D5" s="9">
        <v>249.99</v>
      </c>
      <c r="E5" s="8" t="s">
        <v>256</v>
      </c>
      <c r="F5" s="7" t="s">
        <v>1868</v>
      </c>
      <c r="G5" s="10"/>
      <c r="H5" s="7" t="s">
        <v>1467</v>
      </c>
      <c r="I5" s="7" t="s">
        <v>1468</v>
      </c>
      <c r="J5" s="7" t="s">
        <v>1461</v>
      </c>
      <c r="K5" s="7" t="s">
        <v>257</v>
      </c>
      <c r="L5" s="11" t="str">
        <f>HYPERLINK("http://slimages.macys.com/is/image/MCY/12898898 ")</f>
        <v xml:space="preserve">http://slimages.macys.com/is/image/MCY/12898898 </v>
      </c>
    </row>
    <row r="6" spans="1:12" ht="39.950000000000003" customHeight="1" x14ac:dyDescent="0.25">
      <c r="A6" s="6" t="s">
        <v>258</v>
      </c>
      <c r="B6" s="7" t="s">
        <v>259</v>
      </c>
      <c r="C6" s="8">
        <v>1</v>
      </c>
      <c r="D6" s="9">
        <v>97.99</v>
      </c>
      <c r="E6" s="8" t="s">
        <v>260</v>
      </c>
      <c r="F6" s="7" t="s">
        <v>1868</v>
      </c>
      <c r="G6" s="10"/>
      <c r="H6" s="7" t="s">
        <v>1520</v>
      </c>
      <c r="I6" s="7" t="s">
        <v>261</v>
      </c>
      <c r="J6" s="7" t="s">
        <v>1461</v>
      </c>
      <c r="K6" s="7" t="s">
        <v>262</v>
      </c>
      <c r="L6" s="11" t="str">
        <f>HYPERLINK("http://slimages.macys.com/is/image/MCY/15198973 ")</f>
        <v xml:space="preserve">http://slimages.macys.com/is/image/MCY/15198973 </v>
      </c>
    </row>
    <row r="7" spans="1:12" ht="39.950000000000003" customHeight="1" x14ac:dyDescent="0.25">
      <c r="A7" s="6" t="s">
        <v>263</v>
      </c>
      <c r="B7" s="7" t="s">
        <v>264</v>
      </c>
      <c r="C7" s="8">
        <v>1</v>
      </c>
      <c r="D7" s="9">
        <v>99.99</v>
      </c>
      <c r="E7" s="8" t="s">
        <v>265</v>
      </c>
      <c r="F7" s="7" t="s">
        <v>1544</v>
      </c>
      <c r="G7" s="10"/>
      <c r="H7" s="7" t="s">
        <v>1496</v>
      </c>
      <c r="I7" s="7" t="s">
        <v>1260</v>
      </c>
      <c r="J7" s="7" t="s">
        <v>1461</v>
      </c>
      <c r="K7" s="7"/>
      <c r="L7" s="11" t="str">
        <f>HYPERLINK("http://slimages.macys.com/is/image/MCY/11518009 ")</f>
        <v xml:space="preserve">http://slimages.macys.com/is/image/MCY/11518009 </v>
      </c>
    </row>
    <row r="8" spans="1:12" ht="39.950000000000003" customHeight="1" x14ac:dyDescent="0.25">
      <c r="A8" s="6" t="s">
        <v>266</v>
      </c>
      <c r="B8" s="7" t="s">
        <v>267</v>
      </c>
      <c r="C8" s="8">
        <v>1</v>
      </c>
      <c r="D8" s="9">
        <v>129.99</v>
      </c>
      <c r="E8" s="8" t="s">
        <v>268</v>
      </c>
      <c r="F8" s="7" t="s">
        <v>1458</v>
      </c>
      <c r="G8" s="10" t="s">
        <v>1846</v>
      </c>
      <c r="H8" s="7" t="s">
        <v>1550</v>
      </c>
      <c r="I8" s="7" t="s">
        <v>1497</v>
      </c>
      <c r="J8" s="7" t="s">
        <v>1461</v>
      </c>
      <c r="K8" s="7" t="s">
        <v>269</v>
      </c>
      <c r="L8" s="11" t="str">
        <f>HYPERLINK("http://slimages.macys.com/is/image/MCY/12072133 ")</f>
        <v xml:space="preserve">http://slimages.macys.com/is/image/MCY/12072133 </v>
      </c>
    </row>
    <row r="9" spans="1:12" ht="39.950000000000003" customHeight="1" x14ac:dyDescent="0.25">
      <c r="A9" s="6" t="s">
        <v>188</v>
      </c>
      <c r="B9" s="7" t="s">
        <v>189</v>
      </c>
      <c r="C9" s="8">
        <v>1</v>
      </c>
      <c r="D9" s="9">
        <v>129.99</v>
      </c>
      <c r="E9" s="8" t="s">
        <v>190</v>
      </c>
      <c r="F9" s="7" t="s">
        <v>1458</v>
      </c>
      <c r="G9" s="10"/>
      <c r="H9" s="7" t="s">
        <v>1496</v>
      </c>
      <c r="I9" s="7" t="s">
        <v>1526</v>
      </c>
      <c r="J9" s="7" t="s">
        <v>1461</v>
      </c>
      <c r="K9" s="7" t="s">
        <v>1527</v>
      </c>
      <c r="L9" s="11" t="str">
        <f>HYPERLINK("http://slimages.macys.com/is/image/MCY/11607139 ")</f>
        <v xml:space="preserve">http://slimages.macys.com/is/image/MCY/11607139 </v>
      </c>
    </row>
    <row r="10" spans="1:12" ht="39.950000000000003" customHeight="1" x14ac:dyDescent="0.25">
      <c r="A10" s="6" t="s">
        <v>270</v>
      </c>
      <c r="B10" s="7" t="s">
        <v>271</v>
      </c>
      <c r="C10" s="8">
        <v>1</v>
      </c>
      <c r="D10" s="9">
        <v>84.99</v>
      </c>
      <c r="E10" s="8" t="s">
        <v>272</v>
      </c>
      <c r="F10" s="7" t="s">
        <v>1110</v>
      </c>
      <c r="G10" s="10"/>
      <c r="H10" s="7" t="s">
        <v>1520</v>
      </c>
      <c r="I10" s="7" t="s">
        <v>1521</v>
      </c>
      <c r="J10" s="7" t="s">
        <v>1461</v>
      </c>
      <c r="K10" s="7"/>
      <c r="L10" s="11" t="str">
        <f>HYPERLINK("http://slimages.macys.com/is/image/MCY/9473118 ")</f>
        <v xml:space="preserve">http://slimages.macys.com/is/image/MCY/9473118 </v>
      </c>
    </row>
    <row r="11" spans="1:12" ht="39.950000000000003" customHeight="1" x14ac:dyDescent="0.25">
      <c r="A11" s="6" t="s">
        <v>273</v>
      </c>
      <c r="B11" s="7" t="s">
        <v>274</v>
      </c>
      <c r="C11" s="8">
        <v>1</v>
      </c>
      <c r="D11" s="9">
        <v>89.99</v>
      </c>
      <c r="E11" s="8" t="s">
        <v>275</v>
      </c>
      <c r="F11" s="7" t="s">
        <v>1458</v>
      </c>
      <c r="G11" s="10"/>
      <c r="H11" s="7" t="s">
        <v>2089</v>
      </c>
      <c r="I11" s="7" t="s">
        <v>276</v>
      </c>
      <c r="J11" s="7"/>
      <c r="K11" s="7"/>
      <c r="L11" s="11" t="str">
        <f>HYPERLINK("http://slimages.macys.com/is/image/MCY/18366426 ")</f>
        <v xml:space="preserve">http://slimages.macys.com/is/image/MCY/18366426 </v>
      </c>
    </row>
    <row r="12" spans="1:12" ht="39.950000000000003" customHeight="1" x14ac:dyDescent="0.25">
      <c r="A12" s="6" t="s">
        <v>277</v>
      </c>
      <c r="B12" s="7" t="s">
        <v>278</v>
      </c>
      <c r="C12" s="8">
        <v>1</v>
      </c>
      <c r="D12" s="9">
        <v>59.99</v>
      </c>
      <c r="E12" s="8" t="s">
        <v>279</v>
      </c>
      <c r="F12" s="7" t="s">
        <v>1554</v>
      </c>
      <c r="G12" s="10"/>
      <c r="H12" s="7" t="s">
        <v>1555</v>
      </c>
      <c r="I12" s="7" t="s">
        <v>1830</v>
      </c>
      <c r="J12" s="7" t="s">
        <v>1461</v>
      </c>
      <c r="K12" s="7"/>
      <c r="L12" s="11" t="str">
        <f>HYPERLINK("http://slimages.macys.com/is/image/MCY/15390117 ")</f>
        <v xml:space="preserve">http://slimages.macys.com/is/image/MCY/15390117 </v>
      </c>
    </row>
    <row r="13" spans="1:12" ht="39.950000000000003" customHeight="1" x14ac:dyDescent="0.25">
      <c r="A13" s="6" t="s">
        <v>280</v>
      </c>
      <c r="B13" s="7" t="s">
        <v>281</v>
      </c>
      <c r="C13" s="8">
        <v>1</v>
      </c>
      <c r="D13" s="9">
        <v>49.99</v>
      </c>
      <c r="E13" s="8">
        <v>21420438</v>
      </c>
      <c r="F13" s="7" t="s">
        <v>2085</v>
      </c>
      <c r="G13" s="10"/>
      <c r="H13" s="7" t="s">
        <v>1555</v>
      </c>
      <c r="I13" s="7" t="s">
        <v>1556</v>
      </c>
      <c r="J13" s="7" t="s">
        <v>1461</v>
      </c>
      <c r="K13" s="7"/>
      <c r="L13" s="11" t="str">
        <f>HYPERLINK("http://slimages.macys.com/is/image/MCY/15103695 ")</f>
        <v xml:space="preserve">http://slimages.macys.com/is/image/MCY/15103695 </v>
      </c>
    </row>
    <row r="14" spans="1:12" ht="39.950000000000003" customHeight="1" x14ac:dyDescent="0.25">
      <c r="A14" s="6" t="s">
        <v>282</v>
      </c>
      <c r="B14" s="7" t="s">
        <v>283</v>
      </c>
      <c r="C14" s="8">
        <v>1</v>
      </c>
      <c r="D14" s="9">
        <v>59.99</v>
      </c>
      <c r="E14" s="8">
        <v>2000001204</v>
      </c>
      <c r="F14" s="7" t="s">
        <v>1762</v>
      </c>
      <c r="G14" s="10"/>
      <c r="H14" s="7" t="s">
        <v>1664</v>
      </c>
      <c r="I14" s="7" t="s">
        <v>1556</v>
      </c>
      <c r="J14" s="7"/>
      <c r="K14" s="7"/>
      <c r="L14" s="11" t="str">
        <f>HYPERLINK("http://slimages.macys.com/is/image/MCY/18592485 ")</f>
        <v xml:space="preserve">http://slimages.macys.com/is/image/MCY/18592485 </v>
      </c>
    </row>
    <row r="15" spans="1:12" ht="39.950000000000003" customHeight="1" x14ac:dyDescent="0.25">
      <c r="A15" s="6" t="s">
        <v>284</v>
      </c>
      <c r="B15" s="7" t="s">
        <v>285</v>
      </c>
      <c r="C15" s="8">
        <v>1</v>
      </c>
      <c r="D15" s="9">
        <v>51.99</v>
      </c>
      <c r="E15" s="8" t="s">
        <v>286</v>
      </c>
      <c r="F15" s="7" t="s">
        <v>1637</v>
      </c>
      <c r="G15" s="10"/>
      <c r="H15" s="7" t="s">
        <v>1555</v>
      </c>
      <c r="I15" s="7" t="s">
        <v>287</v>
      </c>
      <c r="J15" s="7" t="s">
        <v>1461</v>
      </c>
      <c r="K15" s="7" t="s">
        <v>1527</v>
      </c>
      <c r="L15" s="11" t="str">
        <f>HYPERLINK("http://slimages.macys.com/is/image/MCY/15615374 ")</f>
        <v xml:space="preserve">http://slimages.macys.com/is/image/MCY/15615374 </v>
      </c>
    </row>
    <row r="16" spans="1:12" ht="39.950000000000003" customHeight="1" x14ac:dyDescent="0.25">
      <c r="A16" s="6" t="s">
        <v>288</v>
      </c>
      <c r="B16" s="7" t="s">
        <v>289</v>
      </c>
      <c r="C16" s="8">
        <v>1</v>
      </c>
      <c r="D16" s="9">
        <v>64.989999999999995</v>
      </c>
      <c r="E16" s="8" t="s">
        <v>290</v>
      </c>
      <c r="F16" s="7" t="s">
        <v>1458</v>
      </c>
      <c r="G16" s="10" t="s">
        <v>2096</v>
      </c>
      <c r="H16" s="7" t="s">
        <v>1692</v>
      </c>
      <c r="I16" s="7" t="s">
        <v>1842</v>
      </c>
      <c r="J16" s="7"/>
      <c r="K16" s="7"/>
      <c r="L16" s="11" t="str">
        <f>HYPERLINK("http://slimages.macys.com/is/image/MCY/17251959 ")</f>
        <v xml:space="preserve">http://slimages.macys.com/is/image/MCY/17251959 </v>
      </c>
    </row>
    <row r="17" spans="1:12" ht="39.950000000000003" customHeight="1" x14ac:dyDescent="0.25">
      <c r="A17" s="6" t="s">
        <v>291</v>
      </c>
      <c r="B17" s="7" t="s">
        <v>292</v>
      </c>
      <c r="C17" s="8">
        <v>1</v>
      </c>
      <c r="D17" s="9">
        <v>49.99</v>
      </c>
      <c r="E17" s="8" t="s">
        <v>293</v>
      </c>
      <c r="F17" s="7" t="s">
        <v>1519</v>
      </c>
      <c r="G17" s="10" t="s">
        <v>1466</v>
      </c>
      <c r="H17" s="7" t="s">
        <v>1555</v>
      </c>
      <c r="I17" s="7" t="s">
        <v>294</v>
      </c>
      <c r="J17" s="7" t="s">
        <v>1461</v>
      </c>
      <c r="K17" s="7" t="s">
        <v>295</v>
      </c>
      <c r="L17" s="11" t="str">
        <f>HYPERLINK("http://slimages.macys.com/is/image/MCY/10681803 ")</f>
        <v xml:space="preserve">http://slimages.macys.com/is/image/MCY/10681803 </v>
      </c>
    </row>
    <row r="18" spans="1:12" ht="39.950000000000003" customHeight="1" x14ac:dyDescent="0.25">
      <c r="A18" s="6" t="s">
        <v>296</v>
      </c>
      <c r="B18" s="7" t="s">
        <v>297</v>
      </c>
      <c r="C18" s="8">
        <v>1</v>
      </c>
      <c r="D18" s="9">
        <v>79.989999999999995</v>
      </c>
      <c r="E18" s="8" t="s">
        <v>298</v>
      </c>
      <c r="F18" s="7" t="s">
        <v>1549</v>
      </c>
      <c r="G18" s="10"/>
      <c r="H18" s="7" t="s">
        <v>1467</v>
      </c>
      <c r="I18" s="7" t="s">
        <v>1468</v>
      </c>
      <c r="J18" s="7" t="s">
        <v>1461</v>
      </c>
      <c r="K18" s="7"/>
      <c r="L18" s="11" t="str">
        <f>HYPERLINK("http://slimages.macys.com/is/image/MCY/10673248 ")</f>
        <v xml:space="preserve">http://slimages.macys.com/is/image/MCY/10673248 </v>
      </c>
    </row>
    <row r="19" spans="1:12" ht="39.950000000000003" customHeight="1" x14ac:dyDescent="0.25">
      <c r="A19" s="6" t="s">
        <v>299</v>
      </c>
      <c r="B19" s="7" t="s">
        <v>300</v>
      </c>
      <c r="C19" s="8">
        <v>1</v>
      </c>
      <c r="D19" s="9">
        <v>59.99</v>
      </c>
      <c r="E19" s="8" t="s">
        <v>301</v>
      </c>
      <c r="F19" s="7" t="s">
        <v>1531</v>
      </c>
      <c r="G19" s="10"/>
      <c r="H19" s="7" t="s">
        <v>1664</v>
      </c>
      <c r="I19" s="7" t="s">
        <v>1521</v>
      </c>
      <c r="J19" s="7" t="s">
        <v>1461</v>
      </c>
      <c r="K19" s="7" t="s">
        <v>302</v>
      </c>
      <c r="L19" s="11" t="str">
        <f>HYPERLINK("http://slimages.macys.com/is/image/MCY/9505519 ")</f>
        <v xml:space="preserve">http://slimages.macys.com/is/image/MCY/9505519 </v>
      </c>
    </row>
    <row r="20" spans="1:12" ht="39.950000000000003" customHeight="1" x14ac:dyDescent="0.25">
      <c r="A20" s="6" t="s">
        <v>303</v>
      </c>
      <c r="B20" s="7" t="s">
        <v>304</v>
      </c>
      <c r="C20" s="8">
        <v>1</v>
      </c>
      <c r="D20" s="9">
        <v>59.99</v>
      </c>
      <c r="E20" s="8" t="s">
        <v>305</v>
      </c>
      <c r="F20" s="7" t="s">
        <v>1477</v>
      </c>
      <c r="G20" s="10"/>
      <c r="H20" s="7" t="s">
        <v>1764</v>
      </c>
      <c r="I20" s="7" t="s">
        <v>1884</v>
      </c>
      <c r="J20" s="7" t="s">
        <v>1461</v>
      </c>
      <c r="K20" s="7" t="s">
        <v>1729</v>
      </c>
      <c r="L20" s="11" t="str">
        <f>HYPERLINK("http://slimages.macys.com/is/image/MCY/12890708 ")</f>
        <v xml:space="preserve">http://slimages.macys.com/is/image/MCY/12890708 </v>
      </c>
    </row>
    <row r="21" spans="1:12" ht="39.950000000000003" customHeight="1" x14ac:dyDescent="0.25">
      <c r="A21" s="6" t="s">
        <v>306</v>
      </c>
      <c r="B21" s="7" t="s">
        <v>307</v>
      </c>
      <c r="C21" s="8">
        <v>1</v>
      </c>
      <c r="D21" s="9">
        <v>39.99</v>
      </c>
      <c r="E21" s="8">
        <v>22213338</v>
      </c>
      <c r="F21" s="7" t="s">
        <v>1519</v>
      </c>
      <c r="G21" s="10"/>
      <c r="H21" s="7" t="s">
        <v>1555</v>
      </c>
      <c r="I21" s="7" t="s">
        <v>1556</v>
      </c>
      <c r="J21" s="7"/>
      <c r="K21" s="7"/>
      <c r="L21" s="11" t="str">
        <f>HYPERLINK("http://slimages.macys.com/is/image/MCY/17177962 ")</f>
        <v xml:space="preserve">http://slimages.macys.com/is/image/MCY/17177962 </v>
      </c>
    </row>
    <row r="22" spans="1:12" ht="39.950000000000003" customHeight="1" x14ac:dyDescent="0.25">
      <c r="A22" s="6" t="s">
        <v>308</v>
      </c>
      <c r="B22" s="7" t="s">
        <v>309</v>
      </c>
      <c r="C22" s="8">
        <v>1</v>
      </c>
      <c r="D22" s="9">
        <v>99.99</v>
      </c>
      <c r="E22" s="8" t="s">
        <v>310</v>
      </c>
      <c r="F22" s="7" t="s">
        <v>1458</v>
      </c>
      <c r="G22" s="10" t="s">
        <v>311</v>
      </c>
      <c r="H22" s="7" t="s">
        <v>1467</v>
      </c>
      <c r="I22" s="7" t="s">
        <v>1473</v>
      </c>
      <c r="J22" s="7" t="s">
        <v>1461</v>
      </c>
      <c r="K22" s="7" t="s">
        <v>1515</v>
      </c>
      <c r="L22" s="11" t="str">
        <f>HYPERLINK("http://slimages.macys.com/is/image/MCY/8182285 ")</f>
        <v xml:space="preserve">http://slimages.macys.com/is/image/MCY/8182285 </v>
      </c>
    </row>
    <row r="23" spans="1:12" ht="39.950000000000003" customHeight="1" x14ac:dyDescent="0.25">
      <c r="A23" s="6" t="s">
        <v>312</v>
      </c>
      <c r="B23" s="7" t="s">
        <v>313</v>
      </c>
      <c r="C23" s="8">
        <v>1</v>
      </c>
      <c r="D23" s="9">
        <v>48.99</v>
      </c>
      <c r="E23" s="8" t="s">
        <v>314</v>
      </c>
      <c r="F23" s="7" t="s">
        <v>1458</v>
      </c>
      <c r="G23" s="10"/>
      <c r="H23" s="7" t="s">
        <v>1692</v>
      </c>
      <c r="I23" s="7" t="s">
        <v>2156</v>
      </c>
      <c r="J23" s="7" t="s">
        <v>1461</v>
      </c>
      <c r="K23" s="7" t="s">
        <v>315</v>
      </c>
      <c r="L23" s="11" t="str">
        <f>HYPERLINK("http://slimages.macys.com/is/image/MCY/15720048 ")</f>
        <v xml:space="preserve">http://slimages.macys.com/is/image/MCY/15720048 </v>
      </c>
    </row>
    <row r="24" spans="1:12" ht="39.950000000000003" customHeight="1" x14ac:dyDescent="0.25">
      <c r="A24" s="6" t="s">
        <v>316</v>
      </c>
      <c r="B24" s="7" t="s">
        <v>317</v>
      </c>
      <c r="C24" s="8">
        <v>1</v>
      </c>
      <c r="D24" s="9">
        <v>49.99</v>
      </c>
      <c r="E24" s="8" t="s">
        <v>318</v>
      </c>
      <c r="F24" s="7" t="s">
        <v>1549</v>
      </c>
      <c r="G24" s="10"/>
      <c r="H24" s="7" t="s">
        <v>1555</v>
      </c>
      <c r="I24" s="7" t="s">
        <v>1830</v>
      </c>
      <c r="J24" s="7"/>
      <c r="K24" s="7"/>
      <c r="L24" s="11" t="str">
        <f>HYPERLINK("http://slimages.macys.com/is/image/MCY/17968749 ")</f>
        <v xml:space="preserve">http://slimages.macys.com/is/image/MCY/17968749 </v>
      </c>
    </row>
    <row r="25" spans="1:12" ht="39.950000000000003" customHeight="1" x14ac:dyDescent="0.25">
      <c r="A25" s="6" t="s">
        <v>319</v>
      </c>
      <c r="B25" s="7" t="s">
        <v>320</v>
      </c>
      <c r="C25" s="8">
        <v>1</v>
      </c>
      <c r="D25" s="9">
        <v>39.99</v>
      </c>
      <c r="E25" s="8">
        <v>22214238</v>
      </c>
      <c r="F25" s="7" t="s">
        <v>1856</v>
      </c>
      <c r="G25" s="10"/>
      <c r="H25" s="7" t="s">
        <v>1555</v>
      </c>
      <c r="I25" s="7" t="s">
        <v>1556</v>
      </c>
      <c r="J25" s="7"/>
      <c r="K25" s="7"/>
      <c r="L25" s="11" t="str">
        <f>HYPERLINK("http://slimages.macys.com/is/image/MCY/17177962 ")</f>
        <v xml:space="preserve">http://slimages.macys.com/is/image/MCY/17177962 </v>
      </c>
    </row>
    <row r="26" spans="1:12" ht="39.950000000000003" customHeight="1" x14ac:dyDescent="0.25">
      <c r="A26" s="6" t="s">
        <v>321</v>
      </c>
      <c r="B26" s="7" t="s">
        <v>322</v>
      </c>
      <c r="C26" s="8">
        <v>1</v>
      </c>
      <c r="D26" s="9">
        <v>59.99</v>
      </c>
      <c r="E26" s="8" t="s">
        <v>323</v>
      </c>
      <c r="F26" s="7" t="s">
        <v>1458</v>
      </c>
      <c r="G26" s="10"/>
      <c r="H26" s="7" t="s">
        <v>1851</v>
      </c>
      <c r="I26" s="7" t="s">
        <v>1899</v>
      </c>
      <c r="J26" s="7" t="s">
        <v>1490</v>
      </c>
      <c r="K26" s="7" t="s">
        <v>324</v>
      </c>
      <c r="L26" s="11" t="str">
        <f>HYPERLINK("http://slimages.macys.com/is/image/MCY/13368404 ")</f>
        <v xml:space="preserve">http://slimages.macys.com/is/image/MCY/13368404 </v>
      </c>
    </row>
    <row r="27" spans="1:12" ht="39.950000000000003" customHeight="1" x14ac:dyDescent="0.25">
      <c r="A27" s="6" t="s">
        <v>325</v>
      </c>
      <c r="B27" s="7" t="s">
        <v>326</v>
      </c>
      <c r="C27" s="8">
        <v>1</v>
      </c>
      <c r="D27" s="9">
        <v>34.99</v>
      </c>
      <c r="E27" s="8" t="s">
        <v>327</v>
      </c>
      <c r="F27" s="7" t="s">
        <v>1868</v>
      </c>
      <c r="G27" s="10"/>
      <c r="H27" s="7" t="s">
        <v>1506</v>
      </c>
      <c r="I27" s="7" t="s">
        <v>1521</v>
      </c>
      <c r="J27" s="7" t="s">
        <v>1461</v>
      </c>
      <c r="K27" s="7" t="s">
        <v>328</v>
      </c>
      <c r="L27" s="11" t="str">
        <f>HYPERLINK("http://slimages.macys.com/is/image/MCY/9602374 ")</f>
        <v xml:space="preserve">http://slimages.macys.com/is/image/MCY/9602374 </v>
      </c>
    </row>
    <row r="28" spans="1:12" ht="39.950000000000003" customHeight="1" x14ac:dyDescent="0.25">
      <c r="A28" s="6" t="s">
        <v>329</v>
      </c>
      <c r="B28" s="7" t="s">
        <v>330</v>
      </c>
      <c r="C28" s="8">
        <v>1</v>
      </c>
      <c r="D28" s="9">
        <v>49.99</v>
      </c>
      <c r="E28" s="8" t="s">
        <v>331</v>
      </c>
      <c r="F28" s="7" t="s">
        <v>1505</v>
      </c>
      <c r="G28" s="10" t="s">
        <v>1310</v>
      </c>
      <c r="H28" s="7" t="s">
        <v>1578</v>
      </c>
      <c r="I28" s="7" t="s">
        <v>1579</v>
      </c>
      <c r="J28" s="7" t="s">
        <v>1461</v>
      </c>
      <c r="K28" s="7" t="s">
        <v>332</v>
      </c>
      <c r="L28" s="11" t="str">
        <f>HYPERLINK("http://slimages.macys.com/is/image/MCY/13285480 ")</f>
        <v xml:space="preserve">http://slimages.macys.com/is/image/MCY/13285480 </v>
      </c>
    </row>
    <row r="29" spans="1:12" ht="39.950000000000003" customHeight="1" x14ac:dyDescent="0.25">
      <c r="A29" s="6" t="s">
        <v>333</v>
      </c>
      <c r="B29" s="7" t="s">
        <v>334</v>
      </c>
      <c r="C29" s="8">
        <v>1</v>
      </c>
      <c r="D29" s="9">
        <v>34.99</v>
      </c>
      <c r="E29" s="8">
        <v>64229</v>
      </c>
      <c r="F29" s="7" t="s">
        <v>1458</v>
      </c>
      <c r="G29" s="10" t="s">
        <v>335</v>
      </c>
      <c r="H29" s="7" t="s">
        <v>1692</v>
      </c>
      <c r="I29" s="7" t="s">
        <v>1969</v>
      </c>
      <c r="J29" s="7"/>
      <c r="K29" s="7"/>
      <c r="L29" s="11" t="str">
        <f>HYPERLINK("http://slimages.macys.com/is/image/MCY/17406234 ")</f>
        <v xml:space="preserve">http://slimages.macys.com/is/image/MCY/17406234 </v>
      </c>
    </row>
    <row r="30" spans="1:12" ht="39.950000000000003" customHeight="1" x14ac:dyDescent="0.25">
      <c r="A30" s="6" t="s">
        <v>336</v>
      </c>
      <c r="B30" s="7" t="s">
        <v>337</v>
      </c>
      <c r="C30" s="8">
        <v>2</v>
      </c>
      <c r="D30" s="9">
        <v>99.98</v>
      </c>
      <c r="E30" s="8" t="s">
        <v>338</v>
      </c>
      <c r="F30" s="7" t="s">
        <v>1458</v>
      </c>
      <c r="G30" s="10"/>
      <c r="H30" s="7" t="s">
        <v>1851</v>
      </c>
      <c r="I30" s="7" t="s">
        <v>1899</v>
      </c>
      <c r="J30" s="7" t="s">
        <v>1490</v>
      </c>
      <c r="K30" s="7" t="s">
        <v>324</v>
      </c>
      <c r="L30" s="11" t="str">
        <f>HYPERLINK("http://slimages.macys.com/is/image/MCY/13368404 ")</f>
        <v xml:space="preserve">http://slimages.macys.com/is/image/MCY/13368404 </v>
      </c>
    </row>
    <row r="31" spans="1:12" ht="39.950000000000003" customHeight="1" x14ac:dyDescent="0.25">
      <c r="A31" s="6" t="s">
        <v>339</v>
      </c>
      <c r="B31" s="7" t="s">
        <v>340</v>
      </c>
      <c r="C31" s="8">
        <v>1</v>
      </c>
      <c r="D31" s="9">
        <v>30.99</v>
      </c>
      <c r="E31" s="8" t="s">
        <v>341</v>
      </c>
      <c r="F31" s="7"/>
      <c r="G31" s="10"/>
      <c r="H31" s="7" t="s">
        <v>1506</v>
      </c>
      <c r="I31" s="7" t="s">
        <v>1521</v>
      </c>
      <c r="J31" s="7" t="s">
        <v>1461</v>
      </c>
      <c r="K31" s="7" t="s">
        <v>342</v>
      </c>
      <c r="L31" s="11" t="str">
        <f>HYPERLINK("http://slimages.macys.com/is/image/MCY/10112147 ")</f>
        <v xml:space="preserve">http://slimages.macys.com/is/image/MCY/10112147 </v>
      </c>
    </row>
    <row r="32" spans="1:12" ht="39.950000000000003" customHeight="1" x14ac:dyDescent="0.25">
      <c r="A32" s="6" t="s">
        <v>343</v>
      </c>
      <c r="B32" s="7" t="s">
        <v>344</v>
      </c>
      <c r="C32" s="8">
        <v>1</v>
      </c>
      <c r="D32" s="9">
        <v>39.99</v>
      </c>
      <c r="E32" s="8" t="s">
        <v>345</v>
      </c>
      <c r="F32" s="7" t="s">
        <v>1458</v>
      </c>
      <c r="G32" s="10" t="s">
        <v>2096</v>
      </c>
      <c r="H32" s="7" t="s">
        <v>1851</v>
      </c>
      <c r="I32" s="7" t="s">
        <v>1489</v>
      </c>
      <c r="J32" s="7"/>
      <c r="K32" s="7"/>
      <c r="L32" s="11" t="str">
        <f>HYPERLINK("http://slimages.macys.com/is/image/MCY/18753457 ")</f>
        <v xml:space="preserve">http://slimages.macys.com/is/image/MCY/18753457 </v>
      </c>
    </row>
    <row r="33" spans="1:12" ht="39.950000000000003" customHeight="1" x14ac:dyDescent="0.25">
      <c r="A33" s="6" t="s">
        <v>346</v>
      </c>
      <c r="B33" s="7" t="s">
        <v>347</v>
      </c>
      <c r="C33" s="8">
        <v>1</v>
      </c>
      <c r="D33" s="9">
        <v>24.99</v>
      </c>
      <c r="E33" s="8">
        <v>52492</v>
      </c>
      <c r="F33" s="7" t="s">
        <v>1495</v>
      </c>
      <c r="G33" s="10"/>
      <c r="H33" s="7" t="s">
        <v>1506</v>
      </c>
      <c r="I33" s="7" t="s">
        <v>1583</v>
      </c>
      <c r="J33" s="7" t="s">
        <v>1461</v>
      </c>
      <c r="K33" s="7" t="s">
        <v>1564</v>
      </c>
      <c r="L33" s="11" t="str">
        <f>HYPERLINK("http://slimages.macys.com/is/image/MCY/12936265 ")</f>
        <v xml:space="preserve">http://slimages.macys.com/is/image/MCY/12936265 </v>
      </c>
    </row>
    <row r="34" spans="1:12" ht="39.950000000000003" customHeight="1" x14ac:dyDescent="0.25">
      <c r="A34" s="6" t="s">
        <v>348</v>
      </c>
      <c r="B34" s="7" t="s">
        <v>349</v>
      </c>
      <c r="C34" s="8">
        <v>1</v>
      </c>
      <c r="D34" s="9">
        <v>29.99</v>
      </c>
      <c r="E34" s="8" t="s">
        <v>350</v>
      </c>
      <c r="F34" s="7"/>
      <c r="G34" s="10"/>
      <c r="H34" s="7" t="s">
        <v>1664</v>
      </c>
      <c r="I34" s="7" t="s">
        <v>1588</v>
      </c>
      <c r="J34" s="7"/>
      <c r="K34" s="7"/>
      <c r="L34" s="11" t="str">
        <f>HYPERLINK("http://slimages.macys.com/is/image/MCY/17597058 ")</f>
        <v xml:space="preserve">http://slimages.macys.com/is/image/MCY/17597058 </v>
      </c>
    </row>
    <row r="35" spans="1:12" ht="39.950000000000003" customHeight="1" x14ac:dyDescent="0.25">
      <c r="A35" s="6" t="s">
        <v>1981</v>
      </c>
      <c r="B35" s="7" t="s">
        <v>1982</v>
      </c>
      <c r="C35" s="8">
        <v>1</v>
      </c>
      <c r="D35" s="9">
        <v>29.99</v>
      </c>
      <c r="E35" s="8" t="s">
        <v>1983</v>
      </c>
      <c r="F35" s="7" t="s">
        <v>1495</v>
      </c>
      <c r="G35" s="10" t="s">
        <v>1984</v>
      </c>
      <c r="H35" s="7" t="s">
        <v>1532</v>
      </c>
      <c r="I35" s="7" t="s">
        <v>1533</v>
      </c>
      <c r="J35" s="7" t="s">
        <v>1461</v>
      </c>
      <c r="K35" s="7"/>
      <c r="L35" s="11" t="str">
        <f>HYPERLINK("http://slimages.macys.com/is/image/MCY/9356828 ")</f>
        <v xml:space="preserve">http://slimages.macys.com/is/image/MCY/9356828 </v>
      </c>
    </row>
    <row r="36" spans="1:12" ht="39.950000000000003" customHeight="1" x14ac:dyDescent="0.25">
      <c r="A36" s="6" t="s">
        <v>351</v>
      </c>
      <c r="B36" s="7" t="s">
        <v>352</v>
      </c>
      <c r="C36" s="8">
        <v>1</v>
      </c>
      <c r="D36" s="9">
        <v>29.99</v>
      </c>
      <c r="E36" s="8" t="s">
        <v>353</v>
      </c>
      <c r="F36" s="7" t="s">
        <v>1627</v>
      </c>
      <c r="G36" s="10" t="s">
        <v>1577</v>
      </c>
      <c r="H36" s="7" t="s">
        <v>1578</v>
      </c>
      <c r="I36" s="7" t="s">
        <v>1579</v>
      </c>
      <c r="J36" s="7" t="s">
        <v>1461</v>
      </c>
      <c r="K36" s="7" t="s">
        <v>1618</v>
      </c>
      <c r="L36" s="11" t="str">
        <f>HYPERLINK("http://slimages.macys.com/is/image/MCY/13285480 ")</f>
        <v xml:space="preserve">http://slimages.macys.com/is/image/MCY/13285480 </v>
      </c>
    </row>
    <row r="37" spans="1:12" ht="39.950000000000003" customHeight="1" x14ac:dyDescent="0.25">
      <c r="A37" s="6" t="s">
        <v>354</v>
      </c>
      <c r="B37" s="7" t="s">
        <v>355</v>
      </c>
      <c r="C37" s="8">
        <v>1</v>
      </c>
      <c r="D37" s="9">
        <v>59.99</v>
      </c>
      <c r="E37" s="8" t="s">
        <v>356</v>
      </c>
      <c r="F37" s="7" t="s">
        <v>1544</v>
      </c>
      <c r="G37" s="10" t="s">
        <v>120</v>
      </c>
      <c r="H37" s="7" t="s">
        <v>1467</v>
      </c>
      <c r="I37" s="7" t="s">
        <v>516</v>
      </c>
      <c r="J37" s="7" t="s">
        <v>1461</v>
      </c>
      <c r="K37" s="7" t="s">
        <v>357</v>
      </c>
      <c r="L37" s="11" t="str">
        <f>HYPERLINK("http://slimages.macys.com/is/image/MCY/16354731 ")</f>
        <v xml:space="preserve">http://slimages.macys.com/is/image/MCY/16354731 </v>
      </c>
    </row>
    <row r="38" spans="1:12" ht="39.950000000000003" customHeight="1" x14ac:dyDescent="0.25">
      <c r="A38" s="6" t="s">
        <v>358</v>
      </c>
      <c r="B38" s="7" t="s">
        <v>359</v>
      </c>
      <c r="C38" s="8">
        <v>1</v>
      </c>
      <c r="D38" s="9">
        <v>21.99</v>
      </c>
      <c r="E38" s="8" t="s">
        <v>360</v>
      </c>
      <c r="F38" s="7" t="s">
        <v>1110</v>
      </c>
      <c r="G38" s="10"/>
      <c r="H38" s="7" t="s">
        <v>1605</v>
      </c>
      <c r="I38" s="7" t="s">
        <v>1822</v>
      </c>
      <c r="J38" s="7"/>
      <c r="K38" s="7"/>
      <c r="L38" s="11" t="str">
        <f>HYPERLINK("http://slimages.macys.com/is/image/MCY/19042013 ")</f>
        <v xml:space="preserve">http://slimages.macys.com/is/image/MCY/19042013 </v>
      </c>
    </row>
    <row r="39" spans="1:12" ht="39.950000000000003" customHeight="1" x14ac:dyDescent="0.25">
      <c r="A39" s="6" t="s">
        <v>361</v>
      </c>
      <c r="B39" s="7" t="s">
        <v>362</v>
      </c>
      <c r="C39" s="8">
        <v>2</v>
      </c>
      <c r="D39" s="9">
        <v>39.979999999999997</v>
      </c>
      <c r="E39" s="8">
        <v>56511</v>
      </c>
      <c r="F39" s="7" t="s">
        <v>1458</v>
      </c>
      <c r="G39" s="10"/>
      <c r="H39" s="7" t="s">
        <v>1506</v>
      </c>
      <c r="I39" s="7" t="s">
        <v>1583</v>
      </c>
      <c r="J39" s="7" t="s">
        <v>1461</v>
      </c>
      <c r="K39" s="7" t="s">
        <v>1564</v>
      </c>
      <c r="L39" s="11" t="str">
        <f>HYPERLINK("http://slimages.macys.com/is/image/MCY/16060034 ")</f>
        <v xml:space="preserve">http://slimages.macys.com/is/image/MCY/16060034 </v>
      </c>
    </row>
    <row r="40" spans="1:12" ht="39.950000000000003" customHeight="1" x14ac:dyDescent="0.25">
      <c r="A40" s="6" t="s">
        <v>363</v>
      </c>
      <c r="B40" s="7" t="s">
        <v>364</v>
      </c>
      <c r="C40" s="8">
        <v>1</v>
      </c>
      <c r="D40" s="9">
        <v>29.99</v>
      </c>
      <c r="E40" s="8" t="s">
        <v>365</v>
      </c>
      <c r="F40" s="7"/>
      <c r="G40" s="10"/>
      <c r="H40" s="7" t="s">
        <v>1664</v>
      </c>
      <c r="I40" s="7" t="s">
        <v>2152</v>
      </c>
      <c r="J40" s="7"/>
      <c r="K40" s="7"/>
      <c r="L40" s="11" t="str">
        <f>HYPERLINK("http://slimages.macys.com/is/image/MCY/18892376 ")</f>
        <v xml:space="preserve">http://slimages.macys.com/is/image/MCY/18892376 </v>
      </c>
    </row>
    <row r="41" spans="1:12" ht="39.950000000000003" customHeight="1" x14ac:dyDescent="0.25">
      <c r="A41" s="6" t="s">
        <v>366</v>
      </c>
      <c r="B41" s="7" t="s">
        <v>367</v>
      </c>
      <c r="C41" s="8">
        <v>1</v>
      </c>
      <c r="D41" s="9">
        <v>18.989999999999998</v>
      </c>
      <c r="E41" s="8" t="s">
        <v>368</v>
      </c>
      <c r="F41" s="7" t="s">
        <v>1458</v>
      </c>
      <c r="G41" s="10"/>
      <c r="H41" s="7" t="s">
        <v>1555</v>
      </c>
      <c r="I41" s="7" t="s">
        <v>2156</v>
      </c>
      <c r="J41" s="7" t="s">
        <v>1461</v>
      </c>
      <c r="K41" s="7" t="s">
        <v>1564</v>
      </c>
      <c r="L41" s="11" t="str">
        <f>HYPERLINK("http://slimages.macys.com/is/image/MCY/13743128 ")</f>
        <v xml:space="preserve">http://slimages.macys.com/is/image/MCY/13743128 </v>
      </c>
    </row>
    <row r="42" spans="1:12" ht="39.950000000000003" customHeight="1" x14ac:dyDescent="0.25">
      <c r="A42" s="6" t="s">
        <v>369</v>
      </c>
      <c r="B42" s="7" t="s">
        <v>370</v>
      </c>
      <c r="C42" s="8">
        <v>1</v>
      </c>
      <c r="D42" s="9">
        <v>23.99</v>
      </c>
      <c r="E42" s="8" t="s">
        <v>371</v>
      </c>
      <c r="F42" s="7" t="s">
        <v>1458</v>
      </c>
      <c r="G42" s="10" t="s">
        <v>335</v>
      </c>
      <c r="H42" s="7" t="s">
        <v>1692</v>
      </c>
      <c r="I42" s="7" t="s">
        <v>2156</v>
      </c>
      <c r="J42" s="7"/>
      <c r="K42" s="7"/>
      <c r="L42" s="11" t="str">
        <f>HYPERLINK("http://slimages.macys.com/is/image/MCY/18957393 ")</f>
        <v xml:space="preserve">http://slimages.macys.com/is/image/MCY/18957393 </v>
      </c>
    </row>
    <row r="43" spans="1:12" ht="39.950000000000003" customHeight="1" x14ac:dyDescent="0.25">
      <c r="A43" s="6" t="s">
        <v>372</v>
      </c>
      <c r="B43" s="7" t="s">
        <v>373</v>
      </c>
      <c r="C43" s="8">
        <v>1</v>
      </c>
      <c r="D43" s="9">
        <v>19.989999999999998</v>
      </c>
      <c r="E43" s="8" t="s">
        <v>374</v>
      </c>
      <c r="F43" s="7" t="s">
        <v>1458</v>
      </c>
      <c r="G43" s="10"/>
      <c r="H43" s="7" t="s">
        <v>1532</v>
      </c>
      <c r="I43" s="7" t="s">
        <v>1533</v>
      </c>
      <c r="J43" s="7" t="s">
        <v>1461</v>
      </c>
      <c r="K43" s="7"/>
      <c r="L43" s="11" t="str">
        <f>HYPERLINK("http://slimages.macys.com/is/image/MCY/9513127 ")</f>
        <v xml:space="preserve">http://slimages.macys.com/is/image/MCY/9513127 </v>
      </c>
    </row>
    <row r="44" spans="1:12" ht="39.950000000000003" customHeight="1" x14ac:dyDescent="0.25">
      <c r="A44" s="6" t="s">
        <v>375</v>
      </c>
      <c r="B44" s="7" t="s">
        <v>376</v>
      </c>
      <c r="C44" s="8">
        <v>4</v>
      </c>
      <c r="D44" s="9">
        <v>71.959999999999994</v>
      </c>
      <c r="E44" s="8" t="s">
        <v>377</v>
      </c>
      <c r="F44" s="7" t="s">
        <v>1544</v>
      </c>
      <c r="G44" s="10"/>
      <c r="H44" s="7" t="s">
        <v>1506</v>
      </c>
      <c r="I44" s="7" t="s">
        <v>2100</v>
      </c>
      <c r="J44" s="7" t="s">
        <v>1461</v>
      </c>
      <c r="K44" s="7"/>
      <c r="L44" s="11" t="str">
        <f>HYPERLINK("http://slimages.macys.com/is/image/MCY/9169864 ")</f>
        <v xml:space="preserve">http://slimages.macys.com/is/image/MCY/9169864 </v>
      </c>
    </row>
    <row r="45" spans="1:12" ht="39.950000000000003" customHeight="1" x14ac:dyDescent="0.25">
      <c r="A45" s="6" t="s">
        <v>378</v>
      </c>
      <c r="B45" s="7" t="s">
        <v>379</v>
      </c>
      <c r="C45" s="8">
        <v>1</v>
      </c>
      <c r="D45" s="9">
        <v>29.99</v>
      </c>
      <c r="E45" s="8" t="s">
        <v>380</v>
      </c>
      <c r="F45" s="7" t="s">
        <v>1458</v>
      </c>
      <c r="G45" s="10"/>
      <c r="H45" s="7" t="s">
        <v>2217</v>
      </c>
      <c r="I45" s="7" t="s">
        <v>381</v>
      </c>
      <c r="J45" s="7" t="s">
        <v>1461</v>
      </c>
      <c r="K45" s="7"/>
      <c r="L45" s="11" t="str">
        <f>HYPERLINK("http://slimages.macys.com/is/image/MCY/8151499 ")</f>
        <v xml:space="preserve">http://slimages.macys.com/is/image/MCY/8151499 </v>
      </c>
    </row>
    <row r="46" spans="1:12" ht="39.950000000000003" customHeight="1" x14ac:dyDescent="0.25">
      <c r="A46" s="6" t="s">
        <v>382</v>
      </c>
      <c r="B46" s="7" t="s">
        <v>383</v>
      </c>
      <c r="C46" s="8">
        <v>1</v>
      </c>
      <c r="D46" s="9">
        <v>19.989999999999998</v>
      </c>
      <c r="E46" s="8" t="s">
        <v>384</v>
      </c>
      <c r="F46" s="7" t="s">
        <v>1745</v>
      </c>
      <c r="G46" s="10"/>
      <c r="H46" s="7" t="s">
        <v>2217</v>
      </c>
      <c r="I46" s="7" t="s">
        <v>385</v>
      </c>
      <c r="J46" s="7" t="s">
        <v>1461</v>
      </c>
      <c r="K46" s="7" t="s">
        <v>386</v>
      </c>
      <c r="L46" s="11" t="str">
        <f>HYPERLINK("http://slimages.macys.com/is/image/MCY/8151499 ")</f>
        <v xml:space="preserve">http://slimages.macys.com/is/image/MCY/8151499 </v>
      </c>
    </row>
    <row r="47" spans="1:12" ht="39.950000000000003" customHeight="1" x14ac:dyDescent="0.25">
      <c r="A47" s="6" t="s">
        <v>387</v>
      </c>
      <c r="B47" s="7" t="s">
        <v>388</v>
      </c>
      <c r="C47" s="8">
        <v>1</v>
      </c>
      <c r="D47" s="9">
        <v>7.99</v>
      </c>
      <c r="E47" s="8" t="s">
        <v>389</v>
      </c>
      <c r="F47" s="7" t="s">
        <v>1587</v>
      </c>
      <c r="G47" s="10" t="s">
        <v>1577</v>
      </c>
      <c r="H47" s="7" t="s">
        <v>1578</v>
      </c>
      <c r="I47" s="7" t="s">
        <v>1622</v>
      </c>
      <c r="J47" s="7" t="s">
        <v>1461</v>
      </c>
      <c r="K47" s="7" t="s">
        <v>1623</v>
      </c>
      <c r="L47" s="11" t="str">
        <f>HYPERLINK("http://slimages.macys.com/is/image/MCY/12723264 ")</f>
        <v xml:space="preserve">http://slimages.macys.com/is/image/MCY/12723264 </v>
      </c>
    </row>
    <row r="48" spans="1:12" ht="39.950000000000003" customHeight="1" x14ac:dyDescent="0.25">
      <c r="A48" s="6" t="s">
        <v>390</v>
      </c>
      <c r="B48" s="7" t="s">
        <v>391</v>
      </c>
      <c r="C48" s="8">
        <v>1</v>
      </c>
      <c r="D48" s="9">
        <v>9.99</v>
      </c>
      <c r="E48" s="8" t="s">
        <v>392</v>
      </c>
      <c r="F48" s="7"/>
      <c r="G48" s="10"/>
      <c r="H48" s="7" t="s">
        <v>1605</v>
      </c>
      <c r="I48" s="7" t="s">
        <v>393</v>
      </c>
      <c r="J48" s="7"/>
      <c r="K48" s="7"/>
      <c r="L48" s="11" t="str">
        <f>HYPERLINK("http://slimages.macys.com/is/image/MCY/18744517 ")</f>
        <v xml:space="preserve">http://slimages.macys.com/is/image/MCY/18744517 </v>
      </c>
    </row>
    <row r="49" spans="1:12" ht="39.950000000000003" customHeight="1" x14ac:dyDescent="0.25">
      <c r="A49" s="6" t="s">
        <v>1649</v>
      </c>
      <c r="B49" s="7" t="s">
        <v>1650</v>
      </c>
      <c r="C49" s="8">
        <v>10</v>
      </c>
      <c r="D49" s="9">
        <v>400</v>
      </c>
      <c r="E49" s="8"/>
      <c r="F49" s="7" t="s">
        <v>1651</v>
      </c>
      <c r="G49" s="10" t="s">
        <v>1561</v>
      </c>
      <c r="H49" s="7" t="s">
        <v>1652</v>
      </c>
      <c r="I49" s="7" t="s">
        <v>1653</v>
      </c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15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394</v>
      </c>
      <c r="B2" s="7" t="s">
        <v>395</v>
      </c>
      <c r="C2" s="8">
        <v>1</v>
      </c>
      <c r="D2" s="9">
        <v>199.99</v>
      </c>
      <c r="E2" s="8" t="s">
        <v>396</v>
      </c>
      <c r="F2" s="7" t="s">
        <v>1519</v>
      </c>
      <c r="G2" s="10"/>
      <c r="H2" s="7" t="s">
        <v>1764</v>
      </c>
      <c r="I2" s="7" t="s">
        <v>397</v>
      </c>
      <c r="J2" s="7" t="s">
        <v>1461</v>
      </c>
      <c r="K2" s="7" t="s">
        <v>398</v>
      </c>
      <c r="L2" s="11" t="str">
        <f>HYPERLINK("http://slimages.macys.com/is/image/MCY/9418838 ")</f>
        <v xml:space="preserve">http://slimages.macys.com/is/image/MCY/9418838 </v>
      </c>
    </row>
    <row r="3" spans="1:12" ht="39.950000000000003" customHeight="1" x14ac:dyDescent="0.25">
      <c r="A3" s="6" t="s">
        <v>399</v>
      </c>
      <c r="B3" s="7" t="s">
        <v>400</v>
      </c>
      <c r="C3" s="8">
        <v>1</v>
      </c>
      <c r="D3" s="9">
        <v>323.99</v>
      </c>
      <c r="E3" s="8" t="s">
        <v>401</v>
      </c>
      <c r="F3" s="7" t="s">
        <v>1458</v>
      </c>
      <c r="G3" s="10"/>
      <c r="H3" s="7" t="s">
        <v>1562</v>
      </c>
      <c r="I3" s="7" t="s">
        <v>1693</v>
      </c>
      <c r="J3" s="7" t="s">
        <v>1508</v>
      </c>
      <c r="K3" s="7" t="s">
        <v>402</v>
      </c>
      <c r="L3" s="11" t="str">
        <f>HYPERLINK("http://slimages.macys.com/is/image/MCY/11798310 ")</f>
        <v xml:space="preserve">http://slimages.macys.com/is/image/MCY/11798310 </v>
      </c>
    </row>
    <row r="4" spans="1:12" ht="39.950000000000003" customHeight="1" x14ac:dyDescent="0.25">
      <c r="A4" s="6" t="s">
        <v>403</v>
      </c>
      <c r="B4" s="7" t="s">
        <v>404</v>
      </c>
      <c r="C4" s="8">
        <v>2</v>
      </c>
      <c r="D4" s="9">
        <v>379.98</v>
      </c>
      <c r="E4" s="8" t="s">
        <v>405</v>
      </c>
      <c r="F4" s="7" t="s">
        <v>1458</v>
      </c>
      <c r="G4" s="10"/>
      <c r="H4" s="7" t="s">
        <v>1851</v>
      </c>
      <c r="I4" s="7" t="s">
        <v>1460</v>
      </c>
      <c r="J4" s="7" t="s">
        <v>1461</v>
      </c>
      <c r="K4" s="7" t="s">
        <v>1044</v>
      </c>
      <c r="L4" s="11" t="str">
        <f>HYPERLINK("http://slimages.macys.com/is/image/MCY/3962581 ")</f>
        <v xml:space="preserve">http://slimages.macys.com/is/image/MCY/3962581 </v>
      </c>
    </row>
    <row r="5" spans="1:12" ht="39.950000000000003" customHeight="1" x14ac:dyDescent="0.25">
      <c r="A5" s="6" t="s">
        <v>406</v>
      </c>
      <c r="B5" s="7" t="s">
        <v>407</v>
      </c>
      <c r="C5" s="8">
        <v>2</v>
      </c>
      <c r="D5" s="9">
        <v>439.98</v>
      </c>
      <c r="E5" s="8" t="s">
        <v>408</v>
      </c>
      <c r="F5" s="7" t="s">
        <v>1458</v>
      </c>
      <c r="G5" s="10" t="s">
        <v>1466</v>
      </c>
      <c r="H5" s="7" t="s">
        <v>1459</v>
      </c>
      <c r="I5" s="7" t="s">
        <v>1460</v>
      </c>
      <c r="J5" s="7" t="s">
        <v>1461</v>
      </c>
      <c r="K5" s="7"/>
      <c r="L5" s="11" t="str">
        <f>HYPERLINK("http://slimages.macys.com/is/image/MCY/2355760 ")</f>
        <v xml:space="preserve">http://slimages.macys.com/is/image/MCY/2355760 </v>
      </c>
    </row>
    <row r="6" spans="1:12" ht="39.950000000000003" customHeight="1" x14ac:dyDescent="0.25">
      <c r="A6" s="6" t="s">
        <v>409</v>
      </c>
      <c r="B6" s="7" t="s">
        <v>410</v>
      </c>
      <c r="C6" s="8">
        <v>1</v>
      </c>
      <c r="D6" s="9">
        <v>149.99</v>
      </c>
      <c r="E6" s="8" t="s">
        <v>411</v>
      </c>
      <c r="F6" s="7" t="s">
        <v>1458</v>
      </c>
      <c r="G6" s="10"/>
      <c r="H6" s="7" t="s">
        <v>1764</v>
      </c>
      <c r="I6" s="7" t="s">
        <v>1894</v>
      </c>
      <c r="J6" s="7"/>
      <c r="K6" s="7"/>
      <c r="L6" s="11" t="str">
        <f>HYPERLINK("http://slimages.macys.com/is/image/MCY/17162289 ")</f>
        <v xml:space="preserve">http://slimages.macys.com/is/image/MCY/17162289 </v>
      </c>
    </row>
    <row r="7" spans="1:12" ht="39.950000000000003" customHeight="1" x14ac:dyDescent="0.25">
      <c r="A7" s="6" t="s">
        <v>412</v>
      </c>
      <c r="B7" s="7" t="s">
        <v>413</v>
      </c>
      <c r="C7" s="8">
        <v>1</v>
      </c>
      <c r="D7" s="9">
        <v>199.99</v>
      </c>
      <c r="E7" s="8" t="s">
        <v>414</v>
      </c>
      <c r="F7" s="7" t="s">
        <v>1544</v>
      </c>
      <c r="G7" s="10"/>
      <c r="H7" s="7" t="s">
        <v>1467</v>
      </c>
      <c r="I7" s="7" t="s">
        <v>516</v>
      </c>
      <c r="J7" s="7" t="s">
        <v>1461</v>
      </c>
      <c r="K7" s="7" t="s">
        <v>415</v>
      </c>
      <c r="L7" s="11" t="str">
        <f>HYPERLINK("http://slimages.macys.com/is/image/MCY/16354713 ")</f>
        <v xml:space="preserve">http://slimages.macys.com/is/image/MCY/16354713 </v>
      </c>
    </row>
    <row r="8" spans="1:12" ht="39.950000000000003" customHeight="1" x14ac:dyDescent="0.25">
      <c r="A8" s="6" t="s">
        <v>416</v>
      </c>
      <c r="B8" s="7" t="s">
        <v>417</v>
      </c>
      <c r="C8" s="8">
        <v>1</v>
      </c>
      <c r="D8" s="9">
        <v>159.99</v>
      </c>
      <c r="E8" s="8" t="s">
        <v>418</v>
      </c>
      <c r="F8" s="7" t="s">
        <v>1519</v>
      </c>
      <c r="G8" s="10" t="s">
        <v>1846</v>
      </c>
      <c r="H8" s="7" t="s">
        <v>1550</v>
      </c>
      <c r="I8" s="7" t="s">
        <v>1617</v>
      </c>
      <c r="J8" s="7" t="s">
        <v>1461</v>
      </c>
      <c r="K8" s="7" t="s">
        <v>1904</v>
      </c>
      <c r="L8" s="11" t="str">
        <f>HYPERLINK("http://slimages.macys.com/is/image/MCY/10264817 ")</f>
        <v xml:space="preserve">http://slimages.macys.com/is/image/MCY/10264817 </v>
      </c>
    </row>
    <row r="9" spans="1:12" ht="39.950000000000003" customHeight="1" x14ac:dyDescent="0.25">
      <c r="A9" s="6" t="s">
        <v>41</v>
      </c>
      <c r="B9" s="7" t="s">
        <v>42</v>
      </c>
      <c r="C9" s="8">
        <v>1</v>
      </c>
      <c r="D9" s="9">
        <v>99.99</v>
      </c>
      <c r="E9" s="8" t="s">
        <v>43</v>
      </c>
      <c r="F9" s="7" t="s">
        <v>970</v>
      </c>
      <c r="G9" s="10"/>
      <c r="H9" s="7" t="s">
        <v>1496</v>
      </c>
      <c r="I9" s="7" t="s">
        <v>44</v>
      </c>
      <c r="J9" s="7" t="s">
        <v>1461</v>
      </c>
      <c r="K9" s="7"/>
      <c r="L9" s="11" t="str">
        <f>HYPERLINK("http://slimages.macys.com/is/image/MCY/10015969 ")</f>
        <v xml:space="preserve">http://slimages.macys.com/is/image/MCY/10015969 </v>
      </c>
    </row>
    <row r="10" spans="1:12" ht="39.950000000000003" customHeight="1" x14ac:dyDescent="0.25">
      <c r="A10" s="6" t="s">
        <v>419</v>
      </c>
      <c r="B10" s="7" t="s">
        <v>420</v>
      </c>
      <c r="C10" s="8">
        <v>1</v>
      </c>
      <c r="D10" s="9">
        <v>119.99</v>
      </c>
      <c r="E10" s="8" t="s">
        <v>421</v>
      </c>
      <c r="F10" s="7" t="s">
        <v>1482</v>
      </c>
      <c r="G10" s="10"/>
      <c r="H10" s="7" t="s">
        <v>1496</v>
      </c>
      <c r="I10" s="7" t="s">
        <v>1526</v>
      </c>
      <c r="J10" s="7" t="s">
        <v>1461</v>
      </c>
      <c r="K10" s="7" t="s">
        <v>1618</v>
      </c>
      <c r="L10" s="11" t="str">
        <f>HYPERLINK("http://slimages.macys.com/is/image/MCY/11607139 ")</f>
        <v xml:space="preserve">http://slimages.macys.com/is/image/MCY/11607139 </v>
      </c>
    </row>
    <row r="11" spans="1:12" ht="39.950000000000003" customHeight="1" x14ac:dyDescent="0.25">
      <c r="A11" s="6" t="s">
        <v>422</v>
      </c>
      <c r="B11" s="7" t="s">
        <v>423</v>
      </c>
      <c r="C11" s="8">
        <v>1</v>
      </c>
      <c r="D11" s="9">
        <v>69.989999999999995</v>
      </c>
      <c r="E11" s="8" t="s">
        <v>424</v>
      </c>
      <c r="F11" s="7" t="s">
        <v>1554</v>
      </c>
      <c r="G11" s="10"/>
      <c r="H11" s="7" t="s">
        <v>1506</v>
      </c>
      <c r="I11" s="7" t="s">
        <v>1521</v>
      </c>
      <c r="J11" s="7"/>
      <c r="K11" s="7"/>
      <c r="L11" s="11" t="str">
        <f>HYPERLINK("http://slimages.macys.com/is/image/MCY/18218023 ")</f>
        <v xml:space="preserve">http://slimages.macys.com/is/image/MCY/18218023 </v>
      </c>
    </row>
    <row r="12" spans="1:12" ht="39.950000000000003" customHeight="1" x14ac:dyDescent="0.25">
      <c r="A12" s="6" t="s">
        <v>425</v>
      </c>
      <c r="B12" s="7" t="s">
        <v>189</v>
      </c>
      <c r="C12" s="8">
        <v>1</v>
      </c>
      <c r="D12" s="9">
        <v>99.99</v>
      </c>
      <c r="E12" s="8" t="s">
        <v>426</v>
      </c>
      <c r="F12" s="7" t="s">
        <v>1458</v>
      </c>
      <c r="G12" s="10"/>
      <c r="H12" s="7" t="s">
        <v>1496</v>
      </c>
      <c r="I12" s="7" t="s">
        <v>1526</v>
      </c>
      <c r="J12" s="7" t="s">
        <v>1461</v>
      </c>
      <c r="K12" s="7" t="s">
        <v>1568</v>
      </c>
      <c r="L12" s="11" t="str">
        <f>HYPERLINK("http://slimages.macys.com/is/image/MCY/11607139 ")</f>
        <v xml:space="preserve">http://slimages.macys.com/is/image/MCY/11607139 </v>
      </c>
    </row>
    <row r="13" spans="1:12" ht="39.950000000000003" customHeight="1" x14ac:dyDescent="0.25">
      <c r="A13" s="6" t="s">
        <v>427</v>
      </c>
      <c r="B13" s="7" t="s">
        <v>428</v>
      </c>
      <c r="C13" s="8">
        <v>1</v>
      </c>
      <c r="D13" s="9">
        <v>99.99</v>
      </c>
      <c r="E13" s="8" t="s">
        <v>429</v>
      </c>
      <c r="F13" s="7" t="s">
        <v>1651</v>
      </c>
      <c r="G13" s="10" t="s">
        <v>1850</v>
      </c>
      <c r="H13" s="7" t="s">
        <v>1851</v>
      </c>
      <c r="I13" s="7" t="s">
        <v>1460</v>
      </c>
      <c r="J13" s="7" t="s">
        <v>1461</v>
      </c>
      <c r="K13" s="7" t="s">
        <v>430</v>
      </c>
      <c r="L13" s="11" t="str">
        <f>HYPERLINK("http://slimages.macys.com/is/image/MCY/1067172 ")</f>
        <v xml:space="preserve">http://slimages.macys.com/is/image/MCY/1067172 </v>
      </c>
    </row>
    <row r="14" spans="1:12" ht="39.950000000000003" customHeight="1" x14ac:dyDescent="0.25">
      <c r="A14" s="6" t="s">
        <v>431</v>
      </c>
      <c r="B14" s="7" t="s">
        <v>432</v>
      </c>
      <c r="C14" s="8">
        <v>1</v>
      </c>
      <c r="D14" s="9">
        <v>89.99</v>
      </c>
      <c r="E14" s="8" t="s">
        <v>433</v>
      </c>
      <c r="F14" s="7" t="s">
        <v>1597</v>
      </c>
      <c r="G14" s="10"/>
      <c r="H14" s="7" t="s">
        <v>1664</v>
      </c>
      <c r="I14" s="7" t="s">
        <v>1857</v>
      </c>
      <c r="J14" s="7"/>
      <c r="K14" s="7"/>
      <c r="L14" s="11" t="str">
        <f>HYPERLINK("http://slimages.macys.com/is/image/MCY/18133809 ")</f>
        <v xml:space="preserve">http://slimages.macys.com/is/image/MCY/18133809 </v>
      </c>
    </row>
    <row r="15" spans="1:12" ht="39.950000000000003" customHeight="1" x14ac:dyDescent="0.25">
      <c r="A15" s="6" t="s">
        <v>434</v>
      </c>
      <c r="B15" s="7" t="s">
        <v>435</v>
      </c>
      <c r="C15" s="8">
        <v>1</v>
      </c>
      <c r="D15" s="9">
        <v>69.989999999999995</v>
      </c>
      <c r="E15" s="8" t="s">
        <v>436</v>
      </c>
      <c r="F15" s="7" t="s">
        <v>1627</v>
      </c>
      <c r="G15" s="10" t="s">
        <v>437</v>
      </c>
      <c r="H15" s="7" t="s">
        <v>1764</v>
      </c>
      <c r="I15" s="7" t="s">
        <v>861</v>
      </c>
      <c r="J15" s="7" t="s">
        <v>1461</v>
      </c>
      <c r="K15" s="7" t="s">
        <v>1618</v>
      </c>
      <c r="L15" s="11" t="str">
        <f>HYPERLINK("http://slimages.macys.com/is/image/MCY/10312942 ")</f>
        <v xml:space="preserve">http://slimages.macys.com/is/image/MCY/10312942 </v>
      </c>
    </row>
    <row r="16" spans="1:12" ht="39.950000000000003" customHeight="1" x14ac:dyDescent="0.25">
      <c r="A16" s="6" t="s">
        <v>438</v>
      </c>
      <c r="B16" s="7" t="s">
        <v>439</v>
      </c>
      <c r="C16" s="8">
        <v>1</v>
      </c>
      <c r="D16" s="9">
        <v>139.99</v>
      </c>
      <c r="E16" s="8" t="s">
        <v>440</v>
      </c>
      <c r="F16" s="7" t="s">
        <v>1458</v>
      </c>
      <c r="G16" s="10" t="s">
        <v>1513</v>
      </c>
      <c r="H16" s="7" t="s">
        <v>1467</v>
      </c>
      <c r="I16" s="7" t="s">
        <v>1473</v>
      </c>
      <c r="J16" s="7" t="s">
        <v>1461</v>
      </c>
      <c r="K16" s="7" t="s">
        <v>1515</v>
      </c>
      <c r="L16" s="11" t="str">
        <f>HYPERLINK("http://slimages.macys.com/is/image/MCY/8182285 ")</f>
        <v xml:space="preserve">http://slimages.macys.com/is/image/MCY/8182285 </v>
      </c>
    </row>
    <row r="17" spans="1:12" ht="39.950000000000003" customHeight="1" x14ac:dyDescent="0.25">
      <c r="A17" s="6" t="s">
        <v>441</v>
      </c>
      <c r="B17" s="7" t="s">
        <v>442</v>
      </c>
      <c r="C17" s="8">
        <v>1</v>
      </c>
      <c r="D17" s="9">
        <v>49.99</v>
      </c>
      <c r="E17" s="8" t="s">
        <v>443</v>
      </c>
      <c r="F17" s="7" t="s">
        <v>1560</v>
      </c>
      <c r="G17" s="10"/>
      <c r="H17" s="7" t="s">
        <v>1664</v>
      </c>
      <c r="I17" s="7" t="s">
        <v>1556</v>
      </c>
      <c r="J17" s="7" t="s">
        <v>1461</v>
      </c>
      <c r="K17" s="7" t="s">
        <v>1564</v>
      </c>
      <c r="L17" s="11" t="str">
        <f>HYPERLINK("http://slimages.macys.com/is/image/MCY/8347198 ")</f>
        <v xml:space="preserve">http://slimages.macys.com/is/image/MCY/8347198 </v>
      </c>
    </row>
    <row r="18" spans="1:12" ht="39.950000000000003" customHeight="1" x14ac:dyDescent="0.25">
      <c r="A18" s="6" t="s">
        <v>444</v>
      </c>
      <c r="B18" s="7" t="s">
        <v>445</v>
      </c>
      <c r="C18" s="8">
        <v>1</v>
      </c>
      <c r="D18" s="9">
        <v>79.989999999999995</v>
      </c>
      <c r="E18" s="8" t="s">
        <v>446</v>
      </c>
      <c r="F18" s="7" t="s">
        <v>1458</v>
      </c>
      <c r="G18" s="10"/>
      <c r="H18" s="7" t="s">
        <v>1467</v>
      </c>
      <c r="I18" s="7" t="s">
        <v>1468</v>
      </c>
      <c r="J18" s="7" t="s">
        <v>1461</v>
      </c>
      <c r="K18" s="7" t="s">
        <v>1469</v>
      </c>
      <c r="L18" s="11" t="str">
        <f>HYPERLINK("http://slimages.macys.com/is/image/MCY/9353031 ")</f>
        <v xml:space="preserve">http://slimages.macys.com/is/image/MCY/9353031 </v>
      </c>
    </row>
    <row r="19" spans="1:12" ht="39.950000000000003" customHeight="1" x14ac:dyDescent="0.25">
      <c r="A19" s="6" t="s">
        <v>447</v>
      </c>
      <c r="B19" s="7" t="s">
        <v>448</v>
      </c>
      <c r="C19" s="8">
        <v>1</v>
      </c>
      <c r="D19" s="9">
        <v>49.99</v>
      </c>
      <c r="E19" s="8">
        <v>19572229</v>
      </c>
      <c r="F19" s="7" t="s">
        <v>1597</v>
      </c>
      <c r="G19" s="10"/>
      <c r="H19" s="7" t="s">
        <v>1664</v>
      </c>
      <c r="I19" s="7" t="s">
        <v>1556</v>
      </c>
      <c r="J19" s="7" t="s">
        <v>1600</v>
      </c>
      <c r="K19" s="7" t="s">
        <v>1716</v>
      </c>
      <c r="L19" s="11" t="str">
        <f>HYPERLINK("http://slimages.macys.com/is/image/MCY/10622355 ")</f>
        <v xml:space="preserve">http://slimages.macys.com/is/image/MCY/10622355 </v>
      </c>
    </row>
    <row r="20" spans="1:12" ht="39.950000000000003" customHeight="1" x14ac:dyDescent="0.25">
      <c r="A20" s="6" t="s">
        <v>449</v>
      </c>
      <c r="B20" s="7" t="s">
        <v>450</v>
      </c>
      <c r="C20" s="8">
        <v>1</v>
      </c>
      <c r="D20" s="9">
        <v>39.99</v>
      </c>
      <c r="E20" s="8" t="s">
        <v>451</v>
      </c>
      <c r="F20" s="7" t="s">
        <v>2085</v>
      </c>
      <c r="G20" s="10"/>
      <c r="H20" s="7" t="s">
        <v>1555</v>
      </c>
      <c r="I20" s="7" t="s">
        <v>1830</v>
      </c>
      <c r="J20" s="7"/>
      <c r="K20" s="7"/>
      <c r="L20" s="11" t="str">
        <f>HYPERLINK("http://slimages.macys.com/is/image/MCY/16524334 ")</f>
        <v xml:space="preserve">http://slimages.macys.com/is/image/MCY/16524334 </v>
      </c>
    </row>
    <row r="21" spans="1:12" ht="39.950000000000003" customHeight="1" x14ac:dyDescent="0.25">
      <c r="A21" s="6" t="s">
        <v>452</v>
      </c>
      <c r="B21" s="7" t="s">
        <v>453</v>
      </c>
      <c r="C21" s="8">
        <v>1</v>
      </c>
      <c r="D21" s="9">
        <v>47.99</v>
      </c>
      <c r="E21" s="8" t="s">
        <v>454</v>
      </c>
      <c r="F21" s="7" t="s">
        <v>1458</v>
      </c>
      <c r="G21" s="10"/>
      <c r="H21" s="7" t="s">
        <v>1692</v>
      </c>
      <c r="I21" s="7" t="s">
        <v>2129</v>
      </c>
      <c r="J21" s="7" t="s">
        <v>1461</v>
      </c>
      <c r="K21" s="7"/>
      <c r="L21" s="11" t="str">
        <f>HYPERLINK("http://slimages.macys.com/is/image/MCY/9803841 ")</f>
        <v xml:space="preserve">http://slimages.macys.com/is/image/MCY/9803841 </v>
      </c>
    </row>
    <row r="22" spans="1:12" ht="39.950000000000003" customHeight="1" x14ac:dyDescent="0.25">
      <c r="A22" s="6" t="s">
        <v>455</v>
      </c>
      <c r="B22" s="7" t="s">
        <v>456</v>
      </c>
      <c r="C22" s="8">
        <v>1</v>
      </c>
      <c r="D22" s="9">
        <v>49.99</v>
      </c>
      <c r="E22" s="8">
        <v>22365238</v>
      </c>
      <c r="F22" s="7" t="s">
        <v>1519</v>
      </c>
      <c r="G22" s="10"/>
      <c r="H22" s="7" t="s">
        <v>1555</v>
      </c>
      <c r="I22" s="7" t="s">
        <v>1556</v>
      </c>
      <c r="J22" s="7"/>
      <c r="K22" s="7"/>
      <c r="L22" s="11" t="str">
        <f>HYPERLINK("http://slimages.macys.com/is/image/MCY/17191784 ")</f>
        <v xml:space="preserve">http://slimages.macys.com/is/image/MCY/17191784 </v>
      </c>
    </row>
    <row r="23" spans="1:12" ht="39.950000000000003" customHeight="1" x14ac:dyDescent="0.25">
      <c r="A23" s="6" t="s">
        <v>457</v>
      </c>
      <c r="B23" s="7" t="s">
        <v>458</v>
      </c>
      <c r="C23" s="8">
        <v>1</v>
      </c>
      <c r="D23" s="9">
        <v>69.989999999999995</v>
      </c>
      <c r="E23" s="8" t="s">
        <v>459</v>
      </c>
      <c r="F23" s="7" t="s">
        <v>1458</v>
      </c>
      <c r="G23" s="10"/>
      <c r="H23" s="7" t="s">
        <v>1467</v>
      </c>
      <c r="I23" s="7" t="s">
        <v>1468</v>
      </c>
      <c r="J23" s="7" t="s">
        <v>1461</v>
      </c>
      <c r="K23" s="7" t="s">
        <v>1469</v>
      </c>
      <c r="L23" s="11" t="str">
        <f>HYPERLINK("http://slimages.macys.com/is/image/MCY/9353030 ")</f>
        <v xml:space="preserve">http://slimages.macys.com/is/image/MCY/9353030 </v>
      </c>
    </row>
    <row r="24" spans="1:12" ht="39.950000000000003" customHeight="1" x14ac:dyDescent="0.25">
      <c r="A24" s="6" t="s">
        <v>460</v>
      </c>
      <c r="B24" s="7" t="s">
        <v>461</v>
      </c>
      <c r="C24" s="8">
        <v>2</v>
      </c>
      <c r="D24" s="9">
        <v>129.97999999999999</v>
      </c>
      <c r="E24" s="8" t="s">
        <v>462</v>
      </c>
      <c r="F24" s="7" t="s">
        <v>1458</v>
      </c>
      <c r="G24" s="10" t="s">
        <v>2096</v>
      </c>
      <c r="H24" s="7" t="s">
        <v>1851</v>
      </c>
      <c r="I24" s="7" t="s">
        <v>1899</v>
      </c>
      <c r="J24" s="7" t="s">
        <v>1490</v>
      </c>
      <c r="K24" s="7" t="s">
        <v>324</v>
      </c>
      <c r="L24" s="11" t="str">
        <f>HYPERLINK("http://slimages.macys.com/is/image/MCY/13368404 ")</f>
        <v xml:space="preserve">http://slimages.macys.com/is/image/MCY/13368404 </v>
      </c>
    </row>
    <row r="25" spans="1:12" ht="39.950000000000003" customHeight="1" x14ac:dyDescent="0.25">
      <c r="A25" s="6" t="s">
        <v>463</v>
      </c>
      <c r="B25" s="7" t="s">
        <v>464</v>
      </c>
      <c r="C25" s="8">
        <v>1</v>
      </c>
      <c r="D25" s="9">
        <v>39.99</v>
      </c>
      <c r="E25" s="8" t="s">
        <v>465</v>
      </c>
      <c r="F25" s="7" t="s">
        <v>2040</v>
      </c>
      <c r="G25" s="10"/>
      <c r="H25" s="7" t="s">
        <v>1532</v>
      </c>
      <c r="I25" s="7" t="s">
        <v>466</v>
      </c>
      <c r="J25" s="7" t="s">
        <v>1461</v>
      </c>
      <c r="K25" s="7"/>
      <c r="L25" s="11" t="str">
        <f>HYPERLINK("http://slimages.macys.com/is/image/MCY/9408114 ")</f>
        <v xml:space="preserve">http://slimages.macys.com/is/image/MCY/9408114 </v>
      </c>
    </row>
    <row r="26" spans="1:12" ht="39.950000000000003" customHeight="1" x14ac:dyDescent="0.25">
      <c r="A26" s="6" t="s">
        <v>1569</v>
      </c>
      <c r="B26" s="7" t="s">
        <v>1570</v>
      </c>
      <c r="C26" s="8">
        <v>1</v>
      </c>
      <c r="D26" s="9">
        <v>59.99</v>
      </c>
      <c r="E26" s="8">
        <v>10004897500</v>
      </c>
      <c r="F26" s="7" t="s">
        <v>1560</v>
      </c>
      <c r="G26" s="10"/>
      <c r="H26" s="7" t="s">
        <v>1550</v>
      </c>
      <c r="I26" s="7" t="s">
        <v>1551</v>
      </c>
      <c r="J26" s="7" t="s">
        <v>1461</v>
      </c>
      <c r="K26" s="7"/>
      <c r="L26" s="11" t="str">
        <f>HYPERLINK("http://slimages.macys.com/is/image/MCY/14823286 ")</f>
        <v xml:space="preserve">http://slimages.macys.com/is/image/MCY/14823286 </v>
      </c>
    </row>
    <row r="27" spans="1:12" ht="39.950000000000003" customHeight="1" x14ac:dyDescent="0.25">
      <c r="A27" s="6" t="s">
        <v>467</v>
      </c>
      <c r="B27" s="7" t="s">
        <v>468</v>
      </c>
      <c r="C27" s="8">
        <v>1</v>
      </c>
      <c r="D27" s="9">
        <v>39.99</v>
      </c>
      <c r="E27" s="8" t="s">
        <v>469</v>
      </c>
      <c r="F27" s="7" t="s">
        <v>1458</v>
      </c>
      <c r="G27" s="10" t="s">
        <v>1850</v>
      </c>
      <c r="H27" s="7" t="s">
        <v>1851</v>
      </c>
      <c r="I27" s="7" t="s">
        <v>1955</v>
      </c>
      <c r="J27" s="7" t="s">
        <v>1461</v>
      </c>
      <c r="K27" s="7"/>
      <c r="L27" s="11" t="str">
        <f>HYPERLINK("http://slimages.macys.com/is/image/MCY/8839662 ")</f>
        <v xml:space="preserve">http://slimages.macys.com/is/image/MCY/8839662 </v>
      </c>
    </row>
    <row r="28" spans="1:12" ht="39.950000000000003" customHeight="1" x14ac:dyDescent="0.25">
      <c r="A28" s="6" t="s">
        <v>470</v>
      </c>
      <c r="B28" s="7" t="s">
        <v>471</v>
      </c>
      <c r="C28" s="8">
        <v>1</v>
      </c>
      <c r="D28" s="9">
        <v>39.99</v>
      </c>
      <c r="E28" s="8" t="s">
        <v>472</v>
      </c>
      <c r="F28" s="7" t="s">
        <v>1597</v>
      </c>
      <c r="G28" s="10"/>
      <c r="H28" s="7" t="s">
        <v>1605</v>
      </c>
      <c r="I28" s="7" t="s">
        <v>1521</v>
      </c>
      <c r="J28" s="7" t="s">
        <v>1461</v>
      </c>
      <c r="K28" s="7" t="s">
        <v>473</v>
      </c>
      <c r="L28" s="11" t="str">
        <f>HYPERLINK("http://slimages.macys.com/is/image/MCY/10044164 ")</f>
        <v xml:space="preserve">http://slimages.macys.com/is/image/MCY/10044164 </v>
      </c>
    </row>
    <row r="29" spans="1:12" ht="39.950000000000003" customHeight="1" x14ac:dyDescent="0.25">
      <c r="A29" s="6" t="s">
        <v>474</v>
      </c>
      <c r="B29" s="7" t="s">
        <v>475</v>
      </c>
      <c r="C29" s="8">
        <v>1</v>
      </c>
      <c r="D29" s="9">
        <v>29.99</v>
      </c>
      <c r="E29" s="8" t="s">
        <v>476</v>
      </c>
      <c r="F29" s="7" t="s">
        <v>1597</v>
      </c>
      <c r="G29" s="10"/>
      <c r="H29" s="7" t="s">
        <v>1664</v>
      </c>
      <c r="I29" s="7" t="s">
        <v>1556</v>
      </c>
      <c r="J29" s="7" t="s">
        <v>1461</v>
      </c>
      <c r="K29" s="7" t="s">
        <v>1716</v>
      </c>
      <c r="L29" s="11" t="str">
        <f>HYPERLINK("http://slimages.macys.com/is/image/MCY/9700679 ")</f>
        <v xml:space="preserve">http://slimages.macys.com/is/image/MCY/9700679 </v>
      </c>
    </row>
    <row r="30" spans="1:12" ht="39.950000000000003" customHeight="1" x14ac:dyDescent="0.25">
      <c r="A30" s="6" t="s">
        <v>477</v>
      </c>
      <c r="B30" s="7" t="s">
        <v>478</v>
      </c>
      <c r="C30" s="8">
        <v>1</v>
      </c>
      <c r="D30" s="9">
        <v>26.99</v>
      </c>
      <c r="E30" s="8" t="s">
        <v>479</v>
      </c>
      <c r="F30" s="7" t="s">
        <v>1576</v>
      </c>
      <c r="G30" s="10" t="s">
        <v>1577</v>
      </c>
      <c r="H30" s="7" t="s">
        <v>1628</v>
      </c>
      <c r="I30" s="7" t="s">
        <v>480</v>
      </c>
      <c r="J30" s="7" t="s">
        <v>1461</v>
      </c>
      <c r="K30" s="7" t="s">
        <v>332</v>
      </c>
      <c r="L30" s="11" t="str">
        <f>HYPERLINK("http://slimages.macys.com/is/image/MCY/10752873 ")</f>
        <v xml:space="preserve">http://slimages.macys.com/is/image/MCY/10752873 </v>
      </c>
    </row>
    <row r="31" spans="1:12" ht="39.950000000000003" customHeight="1" x14ac:dyDescent="0.25">
      <c r="A31" s="6" t="s">
        <v>481</v>
      </c>
      <c r="B31" s="7" t="s">
        <v>482</v>
      </c>
      <c r="C31" s="8">
        <v>1</v>
      </c>
      <c r="D31" s="9">
        <v>17.989999999999998</v>
      </c>
      <c r="E31" s="8" t="s">
        <v>483</v>
      </c>
      <c r="F31" s="7" t="s">
        <v>1458</v>
      </c>
      <c r="G31" s="10"/>
      <c r="H31" s="7" t="s">
        <v>1555</v>
      </c>
      <c r="I31" s="7" t="s">
        <v>2156</v>
      </c>
      <c r="J31" s="7" t="s">
        <v>1461</v>
      </c>
      <c r="K31" s="7" t="s">
        <v>1564</v>
      </c>
      <c r="L31" s="11" t="str">
        <f>HYPERLINK("http://slimages.macys.com/is/image/MCY/15707127 ")</f>
        <v xml:space="preserve">http://slimages.macys.com/is/image/MCY/15707127 </v>
      </c>
    </row>
    <row r="32" spans="1:12" ht="39.950000000000003" customHeight="1" x14ac:dyDescent="0.25">
      <c r="A32" s="6" t="s">
        <v>484</v>
      </c>
      <c r="B32" s="7" t="s">
        <v>485</v>
      </c>
      <c r="C32" s="8">
        <v>1</v>
      </c>
      <c r="D32" s="9">
        <v>18.989999999999998</v>
      </c>
      <c r="E32" s="8" t="s">
        <v>2159</v>
      </c>
      <c r="F32" s="7" t="s">
        <v>2040</v>
      </c>
      <c r="G32" s="10"/>
      <c r="H32" s="7" t="s">
        <v>1555</v>
      </c>
      <c r="I32" s="7" t="s">
        <v>1857</v>
      </c>
      <c r="J32" s="7" t="s">
        <v>1461</v>
      </c>
      <c r="K32" s="7" t="s">
        <v>1564</v>
      </c>
      <c r="L32" s="11" t="str">
        <f>HYPERLINK("http://slimages.macys.com/is/image/MCY/3153811 ")</f>
        <v xml:space="preserve">http://slimages.macys.com/is/image/MCY/3153811 </v>
      </c>
    </row>
    <row r="33" spans="1:12" ht="39.950000000000003" customHeight="1" x14ac:dyDescent="0.25">
      <c r="A33" s="6" t="s">
        <v>486</v>
      </c>
      <c r="B33" s="7" t="s">
        <v>487</v>
      </c>
      <c r="C33" s="8">
        <v>2</v>
      </c>
      <c r="D33" s="9">
        <v>59.98</v>
      </c>
      <c r="E33" s="8" t="s">
        <v>488</v>
      </c>
      <c r="F33" s="7" t="s">
        <v>1531</v>
      </c>
      <c r="G33" s="10"/>
      <c r="H33" s="7" t="s">
        <v>1545</v>
      </c>
      <c r="I33" s="7" t="s">
        <v>1546</v>
      </c>
      <c r="J33" s="7"/>
      <c r="K33" s="7"/>
      <c r="L33" s="11" t="str">
        <f>HYPERLINK("http://slimages.macys.com/is/image/MCY/18941429 ")</f>
        <v xml:space="preserve">http://slimages.macys.com/is/image/MCY/18941429 </v>
      </c>
    </row>
    <row r="34" spans="1:12" ht="39.950000000000003" customHeight="1" x14ac:dyDescent="0.25">
      <c r="A34" s="6" t="s">
        <v>489</v>
      </c>
      <c r="B34" s="7" t="s">
        <v>490</v>
      </c>
      <c r="C34" s="8">
        <v>1</v>
      </c>
      <c r="D34" s="9">
        <v>13.99</v>
      </c>
      <c r="E34" s="8" t="s">
        <v>491</v>
      </c>
      <c r="F34" s="7" t="s">
        <v>1458</v>
      </c>
      <c r="G34" s="10"/>
      <c r="H34" s="7" t="s">
        <v>1555</v>
      </c>
      <c r="I34" s="7" t="s">
        <v>492</v>
      </c>
      <c r="J34" s="7" t="s">
        <v>1461</v>
      </c>
      <c r="K34" s="7" t="s">
        <v>295</v>
      </c>
      <c r="L34" s="11" t="str">
        <f>HYPERLINK("http://slimages.macys.com/is/image/MCY/13837928 ")</f>
        <v xml:space="preserve">http://slimages.macys.com/is/image/MCY/13837928 </v>
      </c>
    </row>
    <row r="35" spans="1:12" ht="39.950000000000003" customHeight="1" x14ac:dyDescent="0.25">
      <c r="A35" s="6" t="s">
        <v>493</v>
      </c>
      <c r="B35" s="7" t="s">
        <v>494</v>
      </c>
      <c r="C35" s="8">
        <v>1</v>
      </c>
      <c r="D35" s="9">
        <v>9.99</v>
      </c>
      <c r="E35" s="8" t="s">
        <v>495</v>
      </c>
      <c r="F35" s="7" t="s">
        <v>1864</v>
      </c>
      <c r="G35" s="10" t="s">
        <v>1577</v>
      </c>
      <c r="H35" s="7" t="s">
        <v>1578</v>
      </c>
      <c r="I35" s="7" t="s">
        <v>1622</v>
      </c>
      <c r="J35" s="7" t="s">
        <v>1461</v>
      </c>
      <c r="K35" s="7" t="s">
        <v>1623</v>
      </c>
      <c r="L35" s="11" t="str">
        <f>HYPERLINK("http://slimages.macys.com/is/image/MCY/12723168 ")</f>
        <v xml:space="preserve">http://slimages.macys.com/is/image/MCY/12723168 </v>
      </c>
    </row>
    <row r="36" spans="1:12" ht="39.950000000000003" customHeight="1" x14ac:dyDescent="0.25">
      <c r="A36" s="6" t="s">
        <v>496</v>
      </c>
      <c r="B36" s="7" t="s">
        <v>497</v>
      </c>
      <c r="C36" s="8">
        <v>1</v>
      </c>
      <c r="D36" s="9">
        <v>24.99</v>
      </c>
      <c r="E36" s="8" t="s">
        <v>498</v>
      </c>
      <c r="F36" s="7" t="s">
        <v>1604</v>
      </c>
      <c r="G36" s="10"/>
      <c r="H36" s="7" t="s">
        <v>2089</v>
      </c>
      <c r="I36" s="7" t="s">
        <v>2090</v>
      </c>
      <c r="J36" s="7" t="s">
        <v>1461</v>
      </c>
      <c r="K36" s="7" t="s">
        <v>1527</v>
      </c>
      <c r="L36" s="11" t="str">
        <f>HYPERLINK("http://slimages.macys.com/is/image/MCY/13925898 ")</f>
        <v xml:space="preserve">http://slimages.macys.com/is/image/MCY/13925898 </v>
      </c>
    </row>
    <row r="37" spans="1:12" ht="39.950000000000003" customHeight="1" x14ac:dyDescent="0.25">
      <c r="A37" s="6" t="s">
        <v>1649</v>
      </c>
      <c r="B37" s="7" t="s">
        <v>1650</v>
      </c>
      <c r="C37" s="8">
        <v>5</v>
      </c>
      <c r="D37" s="9">
        <v>200</v>
      </c>
      <c r="E37" s="8"/>
      <c r="F37" s="7" t="s">
        <v>1651</v>
      </c>
      <c r="G37" s="10" t="s">
        <v>1561</v>
      </c>
      <c r="H37" s="7" t="s">
        <v>1652</v>
      </c>
      <c r="I37" s="7" t="s">
        <v>1653</v>
      </c>
      <c r="J37" s="7"/>
      <c r="K37" s="7"/>
      <c r="L37" s="11"/>
    </row>
    <row r="38" spans="1:12" ht="39.950000000000003" customHeight="1" x14ac:dyDescent="0.25">
      <c r="A38" s="6"/>
      <c r="B38" s="7"/>
      <c r="C38" s="8"/>
      <c r="D38" s="9"/>
      <c r="E38" s="8"/>
      <c r="F38" s="7"/>
      <c r="G38" s="10"/>
      <c r="H38" s="7"/>
      <c r="I38" s="7"/>
      <c r="J38" s="7"/>
      <c r="K38" s="7"/>
      <c r="L38" s="11"/>
    </row>
    <row r="39" spans="1:12" ht="39.950000000000003" customHeight="1" x14ac:dyDescent="0.25">
      <c r="A39" s="6"/>
      <c r="B39" s="7"/>
      <c r="C39" s="8"/>
      <c r="D39" s="9"/>
      <c r="E39" s="8"/>
      <c r="F39" s="7"/>
      <c r="G39" s="10"/>
      <c r="H39" s="7"/>
      <c r="I39" s="7"/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8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1654</v>
      </c>
      <c r="E1" s="5" t="s">
        <v>1655</v>
      </c>
      <c r="F1" s="5" t="s">
        <v>1656</v>
      </c>
      <c r="G1" s="5" t="s">
        <v>1446</v>
      </c>
      <c r="H1" s="5" t="s">
        <v>1447</v>
      </c>
      <c r="I1" s="5" t="s">
        <v>1448</v>
      </c>
      <c r="J1" s="5" t="s">
        <v>1449</v>
      </c>
      <c r="K1" s="5" t="s">
        <v>1657</v>
      </c>
      <c r="L1" s="5" t="s">
        <v>1658</v>
      </c>
      <c r="M1" s="5" t="s">
        <v>1659</v>
      </c>
      <c r="N1" s="5" t="s">
        <v>1450</v>
      </c>
      <c r="O1" s="5" t="s">
        <v>1451</v>
      </c>
      <c r="P1" s="5" t="s">
        <v>1452</v>
      </c>
      <c r="Q1" s="5" t="s">
        <v>1453</v>
      </c>
      <c r="R1" s="5" t="s">
        <v>1454</v>
      </c>
    </row>
    <row r="2" spans="1:18" ht="39.950000000000003" customHeight="1" x14ac:dyDescent="0.25">
      <c r="A2" s="6" t="s">
        <v>1660</v>
      </c>
      <c r="B2" s="7" t="s">
        <v>1661</v>
      </c>
      <c r="C2" s="8">
        <v>1</v>
      </c>
      <c r="D2" s="9">
        <v>76.05</v>
      </c>
      <c r="E2" s="9">
        <v>76.05</v>
      </c>
      <c r="F2" s="12">
        <v>193.99</v>
      </c>
      <c r="G2" s="9">
        <v>193.99</v>
      </c>
      <c r="H2" s="8" t="s">
        <v>1662</v>
      </c>
      <c r="I2" s="7" t="s">
        <v>1482</v>
      </c>
      <c r="J2" s="10"/>
      <c r="K2" s="9">
        <v>22.815000000000001</v>
      </c>
      <c r="L2" s="9">
        <v>22.815000000000001</v>
      </c>
      <c r="M2" s="7" t="s">
        <v>1663</v>
      </c>
      <c r="N2" s="7" t="s">
        <v>1664</v>
      </c>
      <c r="O2" s="7" t="s">
        <v>1521</v>
      </c>
      <c r="P2" s="7" t="s">
        <v>1461</v>
      </c>
      <c r="Q2" s="7" t="s">
        <v>1665</v>
      </c>
      <c r="R2" s="11" t="str">
        <f>HYPERLINK("http://slimages.macys.com/is/image/MCY/16417704 ")</f>
        <v xml:space="preserve">http://slimages.macys.com/is/image/MCY/16417704 </v>
      </c>
    </row>
    <row r="3" spans="1:18" ht="39.950000000000003" customHeight="1" x14ac:dyDescent="0.25">
      <c r="A3" s="6" t="s">
        <v>1666</v>
      </c>
      <c r="B3" s="7" t="s">
        <v>1667</v>
      </c>
      <c r="C3" s="8">
        <v>1</v>
      </c>
      <c r="D3" s="9">
        <v>52.85</v>
      </c>
      <c r="E3" s="9">
        <v>52.85</v>
      </c>
      <c r="F3" s="12">
        <v>110.99</v>
      </c>
      <c r="G3" s="9">
        <v>110.99</v>
      </c>
      <c r="H3" s="8" t="s">
        <v>1668</v>
      </c>
      <c r="I3" s="7" t="s">
        <v>1597</v>
      </c>
      <c r="J3" s="10"/>
      <c r="K3" s="9">
        <v>18.497499999999999</v>
      </c>
      <c r="L3" s="9">
        <v>18.497499999999999</v>
      </c>
      <c r="M3" s="7" t="s">
        <v>1663</v>
      </c>
      <c r="N3" s="7" t="s">
        <v>1506</v>
      </c>
      <c r="O3" s="7" t="s">
        <v>1521</v>
      </c>
      <c r="P3" s="7" t="s">
        <v>1461</v>
      </c>
      <c r="Q3" s="7" t="s">
        <v>1669</v>
      </c>
      <c r="R3" s="11" t="str">
        <f>HYPERLINK("http://slimages.macys.com/is/image/MCY/11112998 ")</f>
        <v xml:space="preserve">http://slimages.macys.com/is/image/MCY/11112998 </v>
      </c>
    </row>
    <row r="4" spans="1:18" ht="39.950000000000003" customHeight="1" x14ac:dyDescent="0.25">
      <c r="A4" s="6" t="s">
        <v>1670</v>
      </c>
      <c r="B4" s="7" t="s">
        <v>1671</v>
      </c>
      <c r="C4" s="8">
        <v>1</v>
      </c>
      <c r="D4" s="9">
        <v>55.06</v>
      </c>
      <c r="E4" s="9">
        <v>55.06</v>
      </c>
      <c r="F4" s="12">
        <v>109.99</v>
      </c>
      <c r="G4" s="9">
        <v>109.99</v>
      </c>
      <c r="H4" s="8" t="s">
        <v>1672</v>
      </c>
      <c r="I4" s="7" t="s">
        <v>1519</v>
      </c>
      <c r="J4" s="10"/>
      <c r="K4" s="9">
        <v>16.518000000000001</v>
      </c>
      <c r="L4" s="9">
        <v>16.518000000000001</v>
      </c>
      <c r="M4" s="7" t="s">
        <v>1663</v>
      </c>
      <c r="N4" s="7" t="s">
        <v>1664</v>
      </c>
      <c r="O4" s="7" t="s">
        <v>1521</v>
      </c>
      <c r="P4" s="7" t="s">
        <v>1461</v>
      </c>
      <c r="Q4" s="7" t="s">
        <v>1673</v>
      </c>
      <c r="R4" s="11" t="str">
        <f>HYPERLINK("http://slimages.macys.com/is/image/MCY/9566739 ")</f>
        <v xml:space="preserve">http://slimages.macys.com/is/image/MCY/9566739 </v>
      </c>
    </row>
    <row r="5" spans="1:18" ht="39.950000000000003" customHeight="1" x14ac:dyDescent="0.25">
      <c r="A5" s="6" t="s">
        <v>1674</v>
      </c>
      <c r="B5" s="7" t="s">
        <v>1675</v>
      </c>
      <c r="C5" s="8">
        <v>1</v>
      </c>
      <c r="D5" s="9">
        <v>50.74</v>
      </c>
      <c r="E5" s="9">
        <v>50.74</v>
      </c>
      <c r="F5" s="12">
        <v>119.99</v>
      </c>
      <c r="G5" s="9">
        <v>119.99</v>
      </c>
      <c r="H5" s="8" t="s">
        <v>1676</v>
      </c>
      <c r="I5" s="7" t="s">
        <v>1458</v>
      </c>
      <c r="J5" s="10" t="s">
        <v>1466</v>
      </c>
      <c r="K5" s="9">
        <v>15.222</v>
      </c>
      <c r="L5" s="9">
        <v>15.222</v>
      </c>
      <c r="M5" s="7" t="s">
        <v>1663</v>
      </c>
      <c r="N5" s="7" t="s">
        <v>1562</v>
      </c>
      <c r="O5" s="7" t="s">
        <v>1677</v>
      </c>
      <c r="P5" s="7" t="s">
        <v>1490</v>
      </c>
      <c r="Q5" s="7" t="s">
        <v>1678</v>
      </c>
      <c r="R5" s="11" t="str">
        <f>HYPERLINK("http://slimages.macys.com/is/image/MCY/3607558 ")</f>
        <v xml:space="preserve">http://slimages.macys.com/is/image/MCY/3607558 </v>
      </c>
    </row>
    <row r="6" spans="1:18" ht="39.950000000000003" customHeight="1" x14ac:dyDescent="0.25">
      <c r="A6" s="6" t="s">
        <v>1679</v>
      </c>
      <c r="B6" s="7" t="s">
        <v>1680</v>
      </c>
      <c r="C6" s="8">
        <v>1</v>
      </c>
      <c r="D6" s="9">
        <v>48.15</v>
      </c>
      <c r="E6" s="9">
        <v>48.15</v>
      </c>
      <c r="F6" s="12">
        <v>119.99</v>
      </c>
      <c r="G6" s="9">
        <v>119.99</v>
      </c>
      <c r="H6" s="8" t="s">
        <v>1681</v>
      </c>
      <c r="I6" s="7" t="s">
        <v>1554</v>
      </c>
      <c r="J6" s="10"/>
      <c r="K6" s="9">
        <v>14.445</v>
      </c>
      <c r="L6" s="9">
        <v>14.445</v>
      </c>
      <c r="M6" s="7" t="s">
        <v>1663</v>
      </c>
      <c r="N6" s="7" t="s">
        <v>1664</v>
      </c>
      <c r="O6" s="7" t="s">
        <v>1521</v>
      </c>
      <c r="P6" s="7" t="s">
        <v>1461</v>
      </c>
      <c r="Q6" s="7" t="s">
        <v>1682</v>
      </c>
      <c r="R6" s="11" t="str">
        <f>HYPERLINK("http://slimages.macys.com/is/image/MCY/9627974 ")</f>
        <v xml:space="preserve">http://slimages.macys.com/is/image/MCY/9627974 </v>
      </c>
    </row>
    <row r="7" spans="1:18" ht="39.950000000000003" customHeight="1" x14ac:dyDescent="0.25">
      <c r="A7" s="6" t="s">
        <v>1683</v>
      </c>
      <c r="B7" s="7" t="s">
        <v>1684</v>
      </c>
      <c r="C7" s="8">
        <v>1</v>
      </c>
      <c r="D7" s="9">
        <v>36</v>
      </c>
      <c r="E7" s="9">
        <v>36</v>
      </c>
      <c r="F7" s="12">
        <v>79.989999999999995</v>
      </c>
      <c r="G7" s="9">
        <v>79.989999999999995</v>
      </c>
      <c r="H7" s="8" t="s">
        <v>1685</v>
      </c>
      <c r="I7" s="7" t="s">
        <v>1495</v>
      </c>
      <c r="J7" s="10"/>
      <c r="K7" s="9">
        <v>13.32</v>
      </c>
      <c r="L7" s="9">
        <v>13.32</v>
      </c>
      <c r="M7" s="7" t="s">
        <v>1663</v>
      </c>
      <c r="N7" s="7" t="s">
        <v>1605</v>
      </c>
      <c r="O7" s="7" t="s">
        <v>1686</v>
      </c>
      <c r="P7" s="7" t="s">
        <v>1461</v>
      </c>
      <c r="Q7" s="7" t="s">
        <v>1687</v>
      </c>
      <c r="R7" s="11" t="str">
        <f>HYPERLINK("http://slimages.macys.com/is/image/MCY/9304110 ")</f>
        <v xml:space="preserve">http://slimages.macys.com/is/image/MCY/9304110 </v>
      </c>
    </row>
    <row r="8" spans="1:18" ht="39.950000000000003" customHeight="1" x14ac:dyDescent="0.25">
      <c r="A8" s="6" t="s">
        <v>1688</v>
      </c>
      <c r="B8" s="7" t="s">
        <v>1689</v>
      </c>
      <c r="C8" s="8">
        <v>2</v>
      </c>
      <c r="D8" s="9">
        <v>37.36</v>
      </c>
      <c r="E8" s="9">
        <v>74.72</v>
      </c>
      <c r="F8" s="12">
        <v>79.989999999999995</v>
      </c>
      <c r="G8" s="9">
        <v>159.97999999999999</v>
      </c>
      <c r="H8" s="8" t="s">
        <v>1690</v>
      </c>
      <c r="I8" s="7" t="s">
        <v>1458</v>
      </c>
      <c r="J8" s="10" t="s">
        <v>1691</v>
      </c>
      <c r="K8" s="9">
        <v>13.076000000000001</v>
      </c>
      <c r="L8" s="9">
        <v>26.152000000000001</v>
      </c>
      <c r="M8" s="7" t="s">
        <v>1663</v>
      </c>
      <c r="N8" s="7" t="s">
        <v>1692</v>
      </c>
      <c r="O8" s="7" t="s">
        <v>1693</v>
      </c>
      <c r="P8" s="7" t="s">
        <v>1508</v>
      </c>
      <c r="Q8" s="7" t="s">
        <v>1694</v>
      </c>
      <c r="R8" s="11" t="str">
        <f>HYPERLINK("http://slimages.macys.com/is/image/MCY/11798190 ")</f>
        <v xml:space="preserve">http://slimages.macys.com/is/image/MCY/11798190 </v>
      </c>
    </row>
    <row r="9" spans="1:18" ht="39.950000000000003" customHeight="1" x14ac:dyDescent="0.25">
      <c r="A9" s="6" t="s">
        <v>1695</v>
      </c>
      <c r="B9" s="7" t="s">
        <v>1696</v>
      </c>
      <c r="C9" s="8">
        <v>2</v>
      </c>
      <c r="D9" s="9">
        <v>29.89</v>
      </c>
      <c r="E9" s="9">
        <v>59.78</v>
      </c>
      <c r="F9" s="12">
        <v>60.99</v>
      </c>
      <c r="G9" s="9">
        <v>121.98</v>
      </c>
      <c r="H9" s="8" t="s">
        <v>1697</v>
      </c>
      <c r="I9" s="7" t="s">
        <v>1576</v>
      </c>
      <c r="J9" s="10"/>
      <c r="K9" s="9">
        <v>10.461499999999999</v>
      </c>
      <c r="L9" s="9">
        <v>20.922999999999998</v>
      </c>
      <c r="M9" s="7" t="s">
        <v>1663</v>
      </c>
      <c r="N9" s="7" t="s">
        <v>1506</v>
      </c>
      <c r="O9" s="7" t="s">
        <v>1521</v>
      </c>
      <c r="P9" s="7" t="s">
        <v>1461</v>
      </c>
      <c r="Q9" s="7" t="s">
        <v>1698</v>
      </c>
      <c r="R9" s="11" t="str">
        <f>HYPERLINK("http://slimages.macys.com/is/image/MCY/12291966 ")</f>
        <v xml:space="preserve">http://slimages.macys.com/is/image/MCY/12291966 </v>
      </c>
    </row>
    <row r="10" spans="1:18" ht="39.950000000000003" customHeight="1" x14ac:dyDescent="0.25">
      <c r="A10" s="6" t="s">
        <v>1699</v>
      </c>
      <c r="B10" s="7" t="s">
        <v>1700</v>
      </c>
      <c r="C10" s="8">
        <v>1</v>
      </c>
      <c r="D10" s="9">
        <v>27</v>
      </c>
      <c r="E10" s="9">
        <v>27</v>
      </c>
      <c r="F10" s="12">
        <v>59.99</v>
      </c>
      <c r="G10" s="9">
        <v>59.99</v>
      </c>
      <c r="H10" s="8" t="s">
        <v>1685</v>
      </c>
      <c r="I10" s="7" t="s">
        <v>1554</v>
      </c>
      <c r="J10" s="10"/>
      <c r="K10" s="9">
        <v>9.99</v>
      </c>
      <c r="L10" s="9">
        <v>9.99</v>
      </c>
      <c r="M10" s="7" t="s">
        <v>1663</v>
      </c>
      <c r="N10" s="7" t="s">
        <v>1605</v>
      </c>
      <c r="O10" s="7" t="s">
        <v>1686</v>
      </c>
      <c r="P10" s="7" t="s">
        <v>1461</v>
      </c>
      <c r="Q10" s="7" t="s">
        <v>1701</v>
      </c>
      <c r="R10" s="11" t="str">
        <f>HYPERLINK("http://slimages.macys.com/is/image/MCY/8332582 ")</f>
        <v xml:space="preserve">http://slimages.macys.com/is/image/MCY/8332582 </v>
      </c>
    </row>
    <row r="11" spans="1:18" ht="39.950000000000003" customHeight="1" x14ac:dyDescent="0.25">
      <c r="A11" s="6" t="s">
        <v>1702</v>
      </c>
      <c r="B11" s="7" t="s">
        <v>1703</v>
      </c>
      <c r="C11" s="8">
        <v>1</v>
      </c>
      <c r="D11" s="9">
        <v>32.520000000000003</v>
      </c>
      <c r="E11" s="9">
        <v>32.520000000000003</v>
      </c>
      <c r="F11" s="12">
        <v>52.03</v>
      </c>
      <c r="G11" s="9">
        <v>52.03</v>
      </c>
      <c r="H11" s="8" t="s">
        <v>1704</v>
      </c>
      <c r="I11" s="7" t="s">
        <v>1554</v>
      </c>
      <c r="J11" s="10"/>
      <c r="K11" s="9">
        <v>9.7560000000000002</v>
      </c>
      <c r="L11" s="9">
        <v>9.7560000000000002</v>
      </c>
      <c r="M11" s="7" t="s">
        <v>1663</v>
      </c>
      <c r="N11" s="7" t="s">
        <v>1664</v>
      </c>
      <c r="O11" s="7" t="s">
        <v>1588</v>
      </c>
      <c r="P11" s="7"/>
      <c r="Q11" s="7"/>
      <c r="R11" s="11" t="str">
        <f>HYPERLINK("http://slimages.macys.com/is/image/MCY/17574004 ")</f>
        <v xml:space="preserve">http://slimages.macys.com/is/image/MCY/17574004 </v>
      </c>
    </row>
    <row r="12" spans="1:18" ht="39.950000000000003" customHeight="1" x14ac:dyDescent="0.25">
      <c r="A12" s="6" t="s">
        <v>1705</v>
      </c>
      <c r="B12" s="7" t="s">
        <v>1706</v>
      </c>
      <c r="C12" s="8">
        <v>2</v>
      </c>
      <c r="D12" s="9">
        <v>27.44</v>
      </c>
      <c r="E12" s="9">
        <v>54.88</v>
      </c>
      <c r="F12" s="12">
        <v>44.99</v>
      </c>
      <c r="G12" s="9">
        <v>89.98</v>
      </c>
      <c r="H12" s="8">
        <v>2512452</v>
      </c>
      <c r="I12" s="7" t="s">
        <v>1554</v>
      </c>
      <c r="J12" s="10" t="s">
        <v>1707</v>
      </c>
      <c r="K12" s="9">
        <v>9.6039999999999992</v>
      </c>
      <c r="L12" s="9">
        <v>19.207999999999998</v>
      </c>
      <c r="M12" s="7" t="s">
        <v>1663</v>
      </c>
      <c r="N12" s="7" t="s">
        <v>1506</v>
      </c>
      <c r="O12" s="7" t="s">
        <v>1708</v>
      </c>
      <c r="P12" s="7"/>
      <c r="Q12" s="7"/>
      <c r="R12" s="11" t="str">
        <f>HYPERLINK("http://slimages.macys.com/is/image/MCY/3252020 ")</f>
        <v xml:space="preserve">http://slimages.macys.com/is/image/MCY/3252020 </v>
      </c>
    </row>
    <row r="13" spans="1:18" ht="39.950000000000003" customHeight="1" x14ac:dyDescent="0.25">
      <c r="A13" s="6" t="s">
        <v>1709</v>
      </c>
      <c r="B13" s="7" t="s">
        <v>1710</v>
      </c>
      <c r="C13" s="8">
        <v>1</v>
      </c>
      <c r="D13" s="9">
        <v>31.58</v>
      </c>
      <c r="E13" s="9">
        <v>31.58</v>
      </c>
      <c r="F13" s="12">
        <v>79.989999999999995</v>
      </c>
      <c r="G13" s="9">
        <v>79.989999999999995</v>
      </c>
      <c r="H13" s="8">
        <v>10002473500</v>
      </c>
      <c r="I13" s="7" t="s">
        <v>1711</v>
      </c>
      <c r="J13" s="10"/>
      <c r="K13" s="9">
        <v>9.4740000000000002</v>
      </c>
      <c r="L13" s="9">
        <v>9.4740000000000002</v>
      </c>
      <c r="M13" s="7" t="s">
        <v>1663</v>
      </c>
      <c r="N13" s="7" t="s">
        <v>1467</v>
      </c>
      <c r="O13" s="7" t="s">
        <v>1712</v>
      </c>
      <c r="P13" s="7" t="s">
        <v>1461</v>
      </c>
      <c r="Q13" s="7"/>
      <c r="R13" s="11" t="str">
        <f>HYPERLINK("http://slimages.macys.com/is/image/MCY/9746274 ")</f>
        <v xml:space="preserve">http://slimages.macys.com/is/image/MCY/9746274 </v>
      </c>
    </row>
    <row r="14" spans="1:18" ht="39.950000000000003" customHeight="1" x14ac:dyDescent="0.25">
      <c r="A14" s="6" t="s">
        <v>1713</v>
      </c>
      <c r="B14" s="7" t="s">
        <v>1714</v>
      </c>
      <c r="C14" s="8">
        <v>1</v>
      </c>
      <c r="D14" s="9">
        <v>23.11</v>
      </c>
      <c r="E14" s="9">
        <v>23.11</v>
      </c>
      <c r="F14" s="12">
        <v>52.99</v>
      </c>
      <c r="G14" s="9">
        <v>52.99</v>
      </c>
      <c r="H14" s="8" t="s">
        <v>1715</v>
      </c>
      <c r="I14" s="7" t="s">
        <v>1587</v>
      </c>
      <c r="J14" s="10"/>
      <c r="K14" s="9">
        <v>6.9329999999999998</v>
      </c>
      <c r="L14" s="9">
        <v>6.9329999999999998</v>
      </c>
      <c r="M14" s="7" t="s">
        <v>1663</v>
      </c>
      <c r="N14" s="7" t="s">
        <v>1664</v>
      </c>
      <c r="O14" s="7" t="s">
        <v>1521</v>
      </c>
      <c r="P14" s="7" t="s">
        <v>1461</v>
      </c>
      <c r="Q14" s="7" t="s">
        <v>1716</v>
      </c>
      <c r="R14" s="11" t="str">
        <f>HYPERLINK("http://slimages.macys.com/is/image/MCY/9767705 ")</f>
        <v xml:space="preserve">http://slimages.macys.com/is/image/MCY/9767705 </v>
      </c>
    </row>
    <row r="15" spans="1:18" ht="39.950000000000003" customHeight="1" x14ac:dyDescent="0.25">
      <c r="A15" s="6" t="s">
        <v>1717</v>
      </c>
      <c r="B15" s="7" t="s">
        <v>1718</v>
      </c>
      <c r="C15" s="8">
        <v>1</v>
      </c>
      <c r="D15" s="9">
        <v>22.76</v>
      </c>
      <c r="E15" s="9">
        <v>22.76</v>
      </c>
      <c r="F15" s="12">
        <v>62.99</v>
      </c>
      <c r="G15" s="9">
        <v>62.99</v>
      </c>
      <c r="H15" s="8" t="s">
        <v>1719</v>
      </c>
      <c r="I15" s="7" t="s">
        <v>1587</v>
      </c>
      <c r="J15" s="10"/>
      <c r="K15" s="9">
        <v>6.8280000000000003</v>
      </c>
      <c r="L15" s="9">
        <v>6.8280000000000003</v>
      </c>
      <c r="M15" s="7" t="s">
        <v>1663</v>
      </c>
      <c r="N15" s="7" t="s">
        <v>1664</v>
      </c>
      <c r="O15" s="7" t="s">
        <v>1588</v>
      </c>
      <c r="P15" s="7" t="s">
        <v>1461</v>
      </c>
      <c r="Q15" s="7" t="s">
        <v>1720</v>
      </c>
      <c r="R15" s="11" t="str">
        <f>HYPERLINK("http://slimages.macys.com/is/image/MCY/10005647 ")</f>
        <v xml:space="preserve">http://slimages.macys.com/is/image/MCY/10005647 </v>
      </c>
    </row>
    <row r="16" spans="1:18" ht="39.950000000000003" customHeight="1" x14ac:dyDescent="0.25">
      <c r="A16" s="6" t="s">
        <v>1721</v>
      </c>
      <c r="B16" s="7" t="s">
        <v>1722</v>
      </c>
      <c r="C16" s="8">
        <v>2</v>
      </c>
      <c r="D16" s="9">
        <v>18.489999999999998</v>
      </c>
      <c r="E16" s="9">
        <v>36.979999999999997</v>
      </c>
      <c r="F16" s="12">
        <v>62.99</v>
      </c>
      <c r="G16" s="9">
        <v>125.98</v>
      </c>
      <c r="H16" s="8" t="s">
        <v>1723</v>
      </c>
      <c r="I16" s="7" t="s">
        <v>1519</v>
      </c>
      <c r="J16" s="10"/>
      <c r="K16" s="9">
        <v>6.4714999999999998</v>
      </c>
      <c r="L16" s="9">
        <v>12.943</v>
      </c>
      <c r="M16" s="7" t="s">
        <v>1663</v>
      </c>
      <c r="N16" s="7" t="s">
        <v>1506</v>
      </c>
      <c r="O16" s="7" t="s">
        <v>1521</v>
      </c>
      <c r="P16" s="7" t="s">
        <v>1461</v>
      </c>
      <c r="Q16" s="7" t="s">
        <v>1724</v>
      </c>
      <c r="R16" s="11" t="str">
        <f>HYPERLINK("http://slimages.macys.com/is/image/MCY/12490277 ")</f>
        <v xml:space="preserve">http://slimages.macys.com/is/image/MCY/12490277 </v>
      </c>
    </row>
    <row r="17" spans="1:18" ht="39.950000000000003" customHeight="1" x14ac:dyDescent="0.25">
      <c r="A17" s="6" t="s">
        <v>1725</v>
      </c>
      <c r="B17" s="7" t="s">
        <v>1726</v>
      </c>
      <c r="C17" s="8">
        <v>1</v>
      </c>
      <c r="D17" s="9">
        <v>18.29</v>
      </c>
      <c r="E17" s="9">
        <v>18.29</v>
      </c>
      <c r="F17" s="12">
        <v>53.99</v>
      </c>
      <c r="G17" s="9">
        <v>53.99</v>
      </c>
      <c r="H17" s="8" t="s">
        <v>1727</v>
      </c>
      <c r="I17" s="7" t="s">
        <v>1576</v>
      </c>
      <c r="J17" s="10"/>
      <c r="K17" s="9">
        <v>6.4015000000000004</v>
      </c>
      <c r="L17" s="9">
        <v>6.4015000000000004</v>
      </c>
      <c r="M17" s="7" t="s">
        <v>1663</v>
      </c>
      <c r="N17" s="7" t="s">
        <v>1506</v>
      </c>
      <c r="O17" s="7" t="s">
        <v>1728</v>
      </c>
      <c r="P17" s="7" t="s">
        <v>1461</v>
      </c>
      <c r="Q17" s="7" t="s">
        <v>1729</v>
      </c>
      <c r="R17" s="11" t="str">
        <f>HYPERLINK("http://slimages.macys.com/is/image/MCY/11685976 ")</f>
        <v xml:space="preserve">http://slimages.macys.com/is/image/MCY/11685976 </v>
      </c>
    </row>
    <row r="18" spans="1:18" ht="39.950000000000003" customHeight="1" x14ac:dyDescent="0.25">
      <c r="A18" s="6" t="s">
        <v>1730</v>
      </c>
      <c r="B18" s="7" t="s">
        <v>1731</v>
      </c>
      <c r="C18" s="8">
        <v>1</v>
      </c>
      <c r="D18" s="9">
        <v>19.14</v>
      </c>
      <c r="E18" s="9">
        <v>19.14</v>
      </c>
      <c r="F18" s="12">
        <v>49.99</v>
      </c>
      <c r="G18" s="9">
        <v>49.99</v>
      </c>
      <c r="H18" s="8" t="s">
        <v>1732</v>
      </c>
      <c r="I18" s="7" t="s">
        <v>1482</v>
      </c>
      <c r="J18" s="10"/>
      <c r="K18" s="9">
        <v>5.742</v>
      </c>
      <c r="L18" s="9">
        <v>5.742</v>
      </c>
      <c r="M18" s="7" t="s">
        <v>1663</v>
      </c>
      <c r="N18" s="7" t="s">
        <v>1520</v>
      </c>
      <c r="O18" s="7" t="s">
        <v>1733</v>
      </c>
      <c r="P18" s="7" t="s">
        <v>1461</v>
      </c>
      <c r="Q18" s="7" t="s">
        <v>1734</v>
      </c>
      <c r="R18" s="11" t="str">
        <f>HYPERLINK("http://slimages.macys.com/is/image/MCY/16059464 ")</f>
        <v xml:space="preserve">http://slimages.macys.com/is/image/MCY/16059464 </v>
      </c>
    </row>
    <row r="19" spans="1:18" ht="39.950000000000003" customHeight="1" x14ac:dyDescent="0.25">
      <c r="A19" s="6" t="s">
        <v>1735</v>
      </c>
      <c r="B19" s="7" t="s">
        <v>1736</v>
      </c>
      <c r="C19" s="8">
        <v>1</v>
      </c>
      <c r="D19" s="9">
        <v>16.75</v>
      </c>
      <c r="E19" s="9">
        <v>16.75</v>
      </c>
      <c r="F19" s="12">
        <v>79.989999999999995</v>
      </c>
      <c r="G19" s="9">
        <v>79.989999999999995</v>
      </c>
      <c r="H19" s="8" t="s">
        <v>1737</v>
      </c>
      <c r="I19" s="7" t="s">
        <v>1458</v>
      </c>
      <c r="J19" s="10"/>
      <c r="K19" s="9">
        <v>5.0250000000000004</v>
      </c>
      <c r="L19" s="9">
        <v>5.0250000000000004</v>
      </c>
      <c r="M19" s="7" t="s">
        <v>1663</v>
      </c>
      <c r="N19" s="7" t="s">
        <v>1467</v>
      </c>
      <c r="O19" s="7" t="s">
        <v>1468</v>
      </c>
      <c r="P19" s="7" t="s">
        <v>1461</v>
      </c>
      <c r="Q19" s="7" t="s">
        <v>1738</v>
      </c>
      <c r="R19" s="11" t="str">
        <f>HYPERLINK("http://slimages.macys.com/is/image/MCY/9353025 ")</f>
        <v xml:space="preserve">http://slimages.macys.com/is/image/MCY/9353025 </v>
      </c>
    </row>
    <row r="20" spans="1:18" ht="39.950000000000003" customHeight="1" x14ac:dyDescent="0.25">
      <c r="A20" s="6" t="s">
        <v>1739</v>
      </c>
      <c r="B20" s="7" t="s">
        <v>1740</v>
      </c>
      <c r="C20" s="8">
        <v>1</v>
      </c>
      <c r="D20" s="9">
        <v>15.58</v>
      </c>
      <c r="E20" s="9">
        <v>15.58</v>
      </c>
      <c r="F20" s="12">
        <v>39.99</v>
      </c>
      <c r="G20" s="9">
        <v>39.99</v>
      </c>
      <c r="H20" s="8" t="s">
        <v>1741</v>
      </c>
      <c r="I20" s="7" t="s">
        <v>1632</v>
      </c>
      <c r="J20" s="10"/>
      <c r="K20" s="9">
        <v>4.6740000000000004</v>
      </c>
      <c r="L20" s="9">
        <v>4.6740000000000004</v>
      </c>
      <c r="M20" s="7" t="s">
        <v>1663</v>
      </c>
      <c r="N20" s="7" t="s">
        <v>1520</v>
      </c>
      <c r="O20" s="7" t="s">
        <v>1733</v>
      </c>
      <c r="P20" s="7" t="s">
        <v>1461</v>
      </c>
      <c r="Q20" s="7" t="s">
        <v>1734</v>
      </c>
      <c r="R20" s="11" t="str">
        <f>HYPERLINK("http://slimages.macys.com/is/image/MCY/16059461 ")</f>
        <v xml:space="preserve">http://slimages.macys.com/is/image/MCY/16059461 </v>
      </c>
    </row>
    <row r="21" spans="1:18" ht="39.950000000000003" customHeight="1" x14ac:dyDescent="0.25">
      <c r="A21" s="6" t="s">
        <v>1742</v>
      </c>
      <c r="B21" s="7" t="s">
        <v>1743</v>
      </c>
      <c r="C21" s="8">
        <v>1</v>
      </c>
      <c r="D21" s="9">
        <v>12.46</v>
      </c>
      <c r="E21" s="9">
        <v>12.46</v>
      </c>
      <c r="F21" s="12">
        <v>36.99</v>
      </c>
      <c r="G21" s="9">
        <v>36.99</v>
      </c>
      <c r="H21" s="8" t="s">
        <v>1744</v>
      </c>
      <c r="I21" s="7" t="s">
        <v>1745</v>
      </c>
      <c r="J21" s="10" t="s">
        <v>1746</v>
      </c>
      <c r="K21" s="9">
        <v>4.3609999999999998</v>
      </c>
      <c r="L21" s="9">
        <v>4.3609999999999998</v>
      </c>
      <c r="M21" s="7" t="s">
        <v>1663</v>
      </c>
      <c r="N21" s="7" t="s">
        <v>1506</v>
      </c>
      <c r="O21" s="7" t="s">
        <v>1728</v>
      </c>
      <c r="P21" s="7" t="s">
        <v>1461</v>
      </c>
      <c r="Q21" s="7" t="s">
        <v>1747</v>
      </c>
      <c r="R21" s="11" t="str">
        <f>HYPERLINK("http://slimages.macys.com/is/image/MCY/10184271 ")</f>
        <v xml:space="preserve">http://slimages.macys.com/is/image/MCY/10184271 </v>
      </c>
    </row>
    <row r="22" spans="1:18" ht="39.950000000000003" customHeight="1" x14ac:dyDescent="0.25">
      <c r="A22" s="6" t="s">
        <v>1748</v>
      </c>
      <c r="B22" s="7" t="s">
        <v>1749</v>
      </c>
      <c r="C22" s="8">
        <v>1</v>
      </c>
      <c r="D22" s="9">
        <v>14.41</v>
      </c>
      <c r="E22" s="9">
        <v>14.41</v>
      </c>
      <c r="F22" s="12">
        <v>69.989999999999995</v>
      </c>
      <c r="G22" s="9">
        <v>69.989999999999995</v>
      </c>
      <c r="H22" s="8" t="s">
        <v>1750</v>
      </c>
      <c r="I22" s="7" t="s">
        <v>1711</v>
      </c>
      <c r="J22" s="10"/>
      <c r="K22" s="9">
        <v>4.3230000000000004</v>
      </c>
      <c r="L22" s="9">
        <v>4.3230000000000004</v>
      </c>
      <c r="M22" s="7" t="s">
        <v>1663</v>
      </c>
      <c r="N22" s="7" t="s">
        <v>1467</v>
      </c>
      <c r="O22" s="7" t="s">
        <v>1751</v>
      </c>
      <c r="P22" s="7"/>
      <c r="Q22" s="7"/>
      <c r="R22" s="11" t="str">
        <f>HYPERLINK("http://slimages.macys.com/is/image/MCY/16688472 ")</f>
        <v xml:space="preserve">http://slimages.macys.com/is/image/MCY/16688472 </v>
      </c>
    </row>
    <row r="23" spans="1:18" ht="39.950000000000003" customHeight="1" x14ac:dyDescent="0.25">
      <c r="A23" s="6" t="s">
        <v>1752</v>
      </c>
      <c r="B23" s="7" t="s">
        <v>1753</v>
      </c>
      <c r="C23" s="8">
        <v>1</v>
      </c>
      <c r="D23" s="9">
        <v>14.23</v>
      </c>
      <c r="E23" s="9">
        <v>14.23</v>
      </c>
      <c r="F23" s="12">
        <v>38.99</v>
      </c>
      <c r="G23" s="9">
        <v>38.99</v>
      </c>
      <c r="H23" s="8" t="s">
        <v>1754</v>
      </c>
      <c r="I23" s="7" t="s">
        <v>1587</v>
      </c>
      <c r="J23" s="10"/>
      <c r="K23" s="9">
        <v>4.2690000000000001</v>
      </c>
      <c r="L23" s="9">
        <v>4.2690000000000001</v>
      </c>
      <c r="M23" s="7" t="s">
        <v>1663</v>
      </c>
      <c r="N23" s="7" t="s">
        <v>1664</v>
      </c>
      <c r="O23" s="7" t="s">
        <v>1588</v>
      </c>
      <c r="P23" s="7" t="s">
        <v>1461</v>
      </c>
      <c r="Q23" s="7" t="s">
        <v>1755</v>
      </c>
      <c r="R23" s="11" t="str">
        <f>HYPERLINK("http://slimages.macys.com/is/image/MCY/10005660 ")</f>
        <v xml:space="preserve">http://slimages.macys.com/is/image/MCY/10005660 </v>
      </c>
    </row>
    <row r="24" spans="1:18" ht="39.950000000000003" customHeight="1" x14ac:dyDescent="0.25">
      <c r="A24" s="6" t="s">
        <v>1756</v>
      </c>
      <c r="B24" s="7" t="s">
        <v>1757</v>
      </c>
      <c r="C24" s="8">
        <v>1</v>
      </c>
      <c r="D24" s="9">
        <v>11.66</v>
      </c>
      <c r="E24" s="9">
        <v>11.66</v>
      </c>
      <c r="F24" s="12">
        <v>27.99</v>
      </c>
      <c r="G24" s="9">
        <v>27.99</v>
      </c>
      <c r="H24" s="8" t="s">
        <v>1758</v>
      </c>
      <c r="I24" s="7" t="s">
        <v>1458</v>
      </c>
      <c r="J24" s="10"/>
      <c r="K24" s="9">
        <v>4.0810000000000004</v>
      </c>
      <c r="L24" s="9">
        <v>4.0810000000000004</v>
      </c>
      <c r="M24" s="7" t="s">
        <v>1663</v>
      </c>
      <c r="N24" s="7" t="s">
        <v>1506</v>
      </c>
      <c r="O24" s="7" t="s">
        <v>1521</v>
      </c>
      <c r="P24" s="7" t="s">
        <v>1461</v>
      </c>
      <c r="Q24" s="7" t="s">
        <v>1564</v>
      </c>
      <c r="R24" s="11" t="str">
        <f>HYPERLINK("http://slimages.macys.com/is/image/MCY/9534655 ")</f>
        <v xml:space="preserve">http://slimages.macys.com/is/image/MCY/9534655 </v>
      </c>
    </row>
    <row r="25" spans="1:18" ht="39.950000000000003" customHeight="1" x14ac:dyDescent="0.25">
      <c r="A25" s="6" t="s">
        <v>1759</v>
      </c>
      <c r="B25" s="7" t="s">
        <v>1760</v>
      </c>
      <c r="C25" s="8">
        <v>2</v>
      </c>
      <c r="D25" s="9">
        <v>13.39</v>
      </c>
      <c r="E25" s="9">
        <v>26.78</v>
      </c>
      <c r="F25" s="12">
        <v>34.99</v>
      </c>
      <c r="G25" s="9">
        <v>69.98</v>
      </c>
      <c r="H25" s="8" t="s">
        <v>1761</v>
      </c>
      <c r="I25" s="7" t="s">
        <v>1762</v>
      </c>
      <c r="J25" s="10" t="s">
        <v>1763</v>
      </c>
      <c r="K25" s="9">
        <v>4.0170000000000003</v>
      </c>
      <c r="L25" s="9">
        <v>8.0340000000000007</v>
      </c>
      <c r="M25" s="7" t="s">
        <v>1663</v>
      </c>
      <c r="N25" s="7" t="s">
        <v>1764</v>
      </c>
      <c r="O25" s="7" t="s">
        <v>1765</v>
      </c>
      <c r="P25" s="7" t="s">
        <v>1461</v>
      </c>
      <c r="Q25" s="7" t="s">
        <v>1766</v>
      </c>
      <c r="R25" s="11" t="str">
        <f>HYPERLINK("http://slimages.macys.com/is/image/MCY/13314693 ")</f>
        <v xml:space="preserve">http://slimages.macys.com/is/image/MCY/13314693 </v>
      </c>
    </row>
    <row r="26" spans="1:18" ht="39.950000000000003" customHeight="1" x14ac:dyDescent="0.25">
      <c r="A26" s="6" t="s">
        <v>1767</v>
      </c>
      <c r="B26" s="7" t="s">
        <v>1768</v>
      </c>
      <c r="C26" s="8">
        <v>1</v>
      </c>
      <c r="D26" s="9">
        <v>11.37</v>
      </c>
      <c r="E26" s="9">
        <v>11.37</v>
      </c>
      <c r="F26" s="12">
        <v>39.99</v>
      </c>
      <c r="G26" s="9">
        <v>39.99</v>
      </c>
      <c r="H26" s="8" t="s">
        <v>1769</v>
      </c>
      <c r="I26" s="7" t="s">
        <v>1627</v>
      </c>
      <c r="J26" s="10"/>
      <c r="K26" s="9">
        <v>3.411</v>
      </c>
      <c r="L26" s="9">
        <v>3.411</v>
      </c>
      <c r="M26" s="7" t="s">
        <v>1663</v>
      </c>
      <c r="N26" s="7" t="s">
        <v>1545</v>
      </c>
      <c r="O26" s="7" t="s">
        <v>1546</v>
      </c>
      <c r="P26" s="7" t="s">
        <v>1461</v>
      </c>
      <c r="Q26" s="7"/>
      <c r="R26" s="11" t="str">
        <f>HYPERLINK("http://slimages.macys.com/is/image/MCY/13441238 ")</f>
        <v xml:space="preserve">http://slimages.macys.com/is/image/MCY/13441238 </v>
      </c>
    </row>
    <row r="27" spans="1:18" ht="39.950000000000003" customHeight="1" x14ac:dyDescent="0.25">
      <c r="A27" s="6" t="s">
        <v>1770</v>
      </c>
      <c r="B27" s="7" t="s">
        <v>1771</v>
      </c>
      <c r="C27" s="8">
        <v>1</v>
      </c>
      <c r="D27" s="9">
        <v>9.09</v>
      </c>
      <c r="E27" s="9">
        <v>9.09</v>
      </c>
      <c r="F27" s="12">
        <v>24.99</v>
      </c>
      <c r="G27" s="9">
        <v>24.99</v>
      </c>
      <c r="H27" s="8" t="s">
        <v>1772</v>
      </c>
      <c r="I27" s="7" t="s">
        <v>1458</v>
      </c>
      <c r="J27" s="10" t="s">
        <v>1577</v>
      </c>
      <c r="K27" s="9">
        <v>3.3633000000000002</v>
      </c>
      <c r="L27" s="9">
        <v>3.3633000000000002</v>
      </c>
      <c r="M27" s="7" t="s">
        <v>1663</v>
      </c>
      <c r="N27" s="7" t="s">
        <v>1628</v>
      </c>
      <c r="O27" s="7" t="s">
        <v>1588</v>
      </c>
      <c r="P27" s="7"/>
      <c r="Q27" s="7"/>
      <c r="R27" s="11" t="str">
        <f>HYPERLINK("http://slimages.macys.com/is/image/MCY/8899795 ")</f>
        <v xml:space="preserve">http://slimages.macys.com/is/image/MCY/8899795 </v>
      </c>
    </row>
    <row r="28" spans="1:18" ht="39.950000000000003" customHeight="1" x14ac:dyDescent="0.25">
      <c r="A28" s="6" t="s">
        <v>1773</v>
      </c>
      <c r="B28" s="7" t="s">
        <v>1774</v>
      </c>
      <c r="C28" s="8">
        <v>1</v>
      </c>
      <c r="D28" s="9">
        <v>9.09</v>
      </c>
      <c r="E28" s="9">
        <v>9.09</v>
      </c>
      <c r="F28" s="12">
        <v>21.99</v>
      </c>
      <c r="G28" s="9">
        <v>21.99</v>
      </c>
      <c r="H28" s="8" t="s">
        <v>1775</v>
      </c>
      <c r="I28" s="7" t="s">
        <v>1776</v>
      </c>
      <c r="J28" s="10" t="s">
        <v>1577</v>
      </c>
      <c r="K28" s="9">
        <v>3.3633000000000002</v>
      </c>
      <c r="L28" s="9">
        <v>3.3633000000000002</v>
      </c>
      <c r="M28" s="7" t="s">
        <v>1663</v>
      </c>
      <c r="N28" s="7" t="s">
        <v>1628</v>
      </c>
      <c r="O28" s="7" t="s">
        <v>1777</v>
      </c>
      <c r="P28" s="7" t="s">
        <v>1490</v>
      </c>
      <c r="Q28" s="7" t="s">
        <v>1778</v>
      </c>
      <c r="R28" s="11" t="str">
        <f>HYPERLINK("http://slimages.macys.com/is/image/MCY/11227178 ")</f>
        <v xml:space="preserve">http://slimages.macys.com/is/image/MCY/11227178 </v>
      </c>
    </row>
    <row r="29" spans="1:18" ht="39.950000000000003" customHeight="1" x14ac:dyDescent="0.25">
      <c r="A29" s="6" t="s">
        <v>1779</v>
      </c>
      <c r="B29" s="7" t="s">
        <v>1780</v>
      </c>
      <c r="C29" s="8">
        <v>2</v>
      </c>
      <c r="D29" s="9">
        <v>9.5500000000000007</v>
      </c>
      <c r="E29" s="9">
        <v>19.100000000000001</v>
      </c>
      <c r="F29" s="12">
        <v>19.989999999999998</v>
      </c>
      <c r="G29" s="9">
        <v>39.979999999999997</v>
      </c>
      <c r="H29" s="8" t="s">
        <v>1781</v>
      </c>
      <c r="I29" s="7" t="s">
        <v>1495</v>
      </c>
      <c r="J29" s="10"/>
      <c r="K29" s="9">
        <v>3.3424999999999998</v>
      </c>
      <c r="L29" s="9">
        <v>6.6849999999999996</v>
      </c>
      <c r="M29" s="7" t="s">
        <v>1663</v>
      </c>
      <c r="N29" s="7" t="s">
        <v>1506</v>
      </c>
      <c r="O29" s="7" t="s">
        <v>1583</v>
      </c>
      <c r="P29" s="7" t="s">
        <v>1461</v>
      </c>
      <c r="Q29" s="7" t="s">
        <v>1564</v>
      </c>
      <c r="R29" s="11" t="str">
        <f>HYPERLINK("http://slimages.macys.com/is/image/MCY/8565311 ")</f>
        <v xml:space="preserve">http://slimages.macys.com/is/image/MCY/8565311 </v>
      </c>
    </row>
    <row r="30" spans="1:18" ht="39.950000000000003" customHeight="1" x14ac:dyDescent="0.25">
      <c r="A30" s="6" t="s">
        <v>1782</v>
      </c>
      <c r="B30" s="7" t="s">
        <v>1783</v>
      </c>
      <c r="C30" s="8">
        <v>1</v>
      </c>
      <c r="D30" s="9">
        <v>9.34</v>
      </c>
      <c r="E30" s="9">
        <v>9.34</v>
      </c>
      <c r="F30" s="12">
        <v>24.99</v>
      </c>
      <c r="G30" s="9">
        <v>24.99</v>
      </c>
      <c r="H30" s="8" t="s">
        <v>1784</v>
      </c>
      <c r="I30" s="7" t="s">
        <v>1785</v>
      </c>
      <c r="J30" s="10"/>
      <c r="K30" s="9">
        <v>3.2690000000000001</v>
      </c>
      <c r="L30" s="9">
        <v>3.2690000000000001</v>
      </c>
      <c r="M30" s="7" t="s">
        <v>1663</v>
      </c>
      <c r="N30" s="7" t="s">
        <v>1506</v>
      </c>
      <c r="O30" s="7" t="s">
        <v>1521</v>
      </c>
      <c r="P30" s="7" t="s">
        <v>1461</v>
      </c>
      <c r="Q30" s="7" t="s">
        <v>1786</v>
      </c>
      <c r="R30" s="11" t="str">
        <f>HYPERLINK("http://slimages.macys.com/is/image/MCY/3664925 ")</f>
        <v xml:space="preserve">http://slimages.macys.com/is/image/MCY/3664925 </v>
      </c>
    </row>
    <row r="31" spans="1:18" ht="39.950000000000003" customHeight="1" x14ac:dyDescent="0.25">
      <c r="A31" s="6" t="s">
        <v>1787</v>
      </c>
      <c r="B31" s="7" t="s">
        <v>1788</v>
      </c>
      <c r="C31" s="8">
        <v>1</v>
      </c>
      <c r="D31" s="9">
        <v>6.78</v>
      </c>
      <c r="E31" s="9">
        <v>6.78</v>
      </c>
      <c r="F31" s="12">
        <v>29.99</v>
      </c>
      <c r="G31" s="9">
        <v>29.99</v>
      </c>
      <c r="H31" s="8" t="s">
        <v>1789</v>
      </c>
      <c r="I31" s="7" t="s">
        <v>1519</v>
      </c>
      <c r="J31" s="10"/>
      <c r="K31" s="9">
        <v>2.0339999999999998</v>
      </c>
      <c r="L31" s="9">
        <v>2.0339999999999998</v>
      </c>
      <c r="M31" s="7" t="s">
        <v>1663</v>
      </c>
      <c r="N31" s="7" t="s">
        <v>1550</v>
      </c>
      <c r="O31" s="7" t="s">
        <v>1790</v>
      </c>
      <c r="P31" s="7" t="s">
        <v>1461</v>
      </c>
      <c r="Q31" s="7" t="s">
        <v>1527</v>
      </c>
      <c r="R31" s="11" t="str">
        <f>HYPERLINK("http://slimages.macys.com/is/image/MCY/14725269 ")</f>
        <v xml:space="preserve">http://slimages.macys.com/is/image/MCY/14725269 </v>
      </c>
    </row>
    <row r="32" spans="1:18" ht="39.950000000000003" customHeight="1" x14ac:dyDescent="0.25">
      <c r="A32" s="6" t="s">
        <v>1791</v>
      </c>
      <c r="B32" s="7" t="s">
        <v>1792</v>
      </c>
      <c r="C32" s="8">
        <v>3</v>
      </c>
      <c r="D32" s="9">
        <v>4.5</v>
      </c>
      <c r="E32" s="9">
        <v>13.5</v>
      </c>
      <c r="F32" s="12">
        <v>11.99</v>
      </c>
      <c r="G32" s="9">
        <v>35.97</v>
      </c>
      <c r="H32" s="8" t="s">
        <v>1793</v>
      </c>
      <c r="I32" s="7" t="s">
        <v>1560</v>
      </c>
      <c r="J32" s="10"/>
      <c r="K32" s="9">
        <v>1.665</v>
      </c>
      <c r="L32" s="9">
        <v>4.9950000000000001</v>
      </c>
      <c r="M32" s="7" t="s">
        <v>1663</v>
      </c>
      <c r="N32" s="7" t="s">
        <v>1605</v>
      </c>
      <c r="O32" s="7" t="s">
        <v>1521</v>
      </c>
      <c r="P32" s="7"/>
      <c r="Q32" s="7"/>
      <c r="R32" s="11" t="str">
        <f>HYPERLINK("http://slimages.macys.com/is/image/MCY/17627777 ")</f>
        <v xml:space="preserve">http://slimages.macys.com/is/image/MCY/17627777 </v>
      </c>
    </row>
    <row r="33" spans="1:18" ht="39.950000000000003" customHeight="1" x14ac:dyDescent="0.25">
      <c r="A33" s="6" t="s">
        <v>1794</v>
      </c>
      <c r="B33" s="7" t="s">
        <v>1795</v>
      </c>
      <c r="C33" s="8">
        <v>2</v>
      </c>
      <c r="D33" s="9">
        <v>1.69</v>
      </c>
      <c r="E33" s="9">
        <v>3.38</v>
      </c>
      <c r="F33" s="12">
        <v>6.99</v>
      </c>
      <c r="G33" s="9">
        <v>13.98</v>
      </c>
      <c r="H33" s="8">
        <v>1002300500</v>
      </c>
      <c r="I33" s="7" t="s">
        <v>1582</v>
      </c>
      <c r="J33" s="10" t="s">
        <v>1648</v>
      </c>
      <c r="K33" s="9">
        <v>0.62529999999999997</v>
      </c>
      <c r="L33" s="9">
        <v>1.2505999999999999</v>
      </c>
      <c r="M33" s="7" t="s">
        <v>1663</v>
      </c>
      <c r="N33" s="7" t="s">
        <v>1578</v>
      </c>
      <c r="O33" s="7" t="s">
        <v>1617</v>
      </c>
      <c r="P33" s="7" t="s">
        <v>1461</v>
      </c>
      <c r="Q33" s="7" t="s">
        <v>1623</v>
      </c>
      <c r="R33" s="11" t="str">
        <f>HYPERLINK("http://slimages.macys.com/is/image/MCY/9837819 ")</f>
        <v xml:space="preserve">http://slimages.macys.com/is/image/MCY/9837819 </v>
      </c>
    </row>
    <row r="34" spans="1:18" ht="39.950000000000003" customHeight="1" x14ac:dyDescent="0.25">
      <c r="A34" s="6" t="s">
        <v>1796</v>
      </c>
      <c r="B34" s="7" t="s">
        <v>1797</v>
      </c>
      <c r="C34" s="8">
        <v>1</v>
      </c>
      <c r="D34" s="9">
        <v>1.3</v>
      </c>
      <c r="E34" s="9">
        <v>1.3</v>
      </c>
      <c r="F34" s="12">
        <v>3.99</v>
      </c>
      <c r="G34" s="9">
        <v>3.99</v>
      </c>
      <c r="H34" s="8" t="s">
        <v>1798</v>
      </c>
      <c r="I34" s="7" t="s">
        <v>1519</v>
      </c>
      <c r="J34" s="10" t="s">
        <v>1648</v>
      </c>
      <c r="K34" s="9">
        <v>0.48099999999999998</v>
      </c>
      <c r="L34" s="9">
        <v>0.48099999999999998</v>
      </c>
      <c r="M34" s="7" t="s">
        <v>1663</v>
      </c>
      <c r="N34" s="7" t="s">
        <v>1628</v>
      </c>
      <c r="O34" s="7" t="s">
        <v>1799</v>
      </c>
      <c r="P34" s="7" t="s">
        <v>1461</v>
      </c>
      <c r="Q34" s="7" t="s">
        <v>1623</v>
      </c>
      <c r="R34" s="11" t="str">
        <f>HYPERLINK("http://slimages.macys.com/is/image/MCY/11926122 ")</f>
        <v xml:space="preserve">http://slimages.macys.com/is/image/MCY/11926122 </v>
      </c>
    </row>
    <row r="35" spans="1:18" ht="39.950000000000003" customHeight="1" x14ac:dyDescent="0.25">
      <c r="A35" s="6"/>
      <c r="B35" s="7"/>
      <c r="C35" s="8"/>
      <c r="D35" s="9"/>
      <c r="E35" s="8"/>
      <c r="F35" s="7"/>
      <c r="G35" s="10"/>
      <c r="H35" s="7"/>
      <c r="I35" s="7"/>
      <c r="J35" s="7"/>
      <c r="K35" s="7"/>
      <c r="L35" s="11"/>
    </row>
    <row r="36" spans="1:18" ht="39.950000000000003" customHeight="1" x14ac:dyDescent="0.25">
      <c r="A36" s="6"/>
      <c r="B36" s="7"/>
      <c r="C36" s="8"/>
      <c r="D36" s="9"/>
      <c r="E36" s="8"/>
      <c r="F36" s="7"/>
      <c r="G36" s="10"/>
      <c r="H36" s="7"/>
      <c r="I36" s="7"/>
      <c r="J36" s="7"/>
      <c r="K36" s="7"/>
      <c r="L36" s="11"/>
    </row>
    <row r="37" spans="1:18" ht="39.950000000000003" customHeight="1" x14ac:dyDescent="0.25">
      <c r="A37" s="6"/>
      <c r="B37" s="7"/>
      <c r="C37" s="8"/>
      <c r="D37" s="9"/>
      <c r="E37" s="8"/>
      <c r="F37" s="7"/>
      <c r="G37" s="10"/>
      <c r="H37" s="7"/>
      <c r="I37" s="7"/>
      <c r="J37" s="7"/>
      <c r="K37" s="7"/>
      <c r="L37" s="11"/>
    </row>
    <row r="38" spans="1:18" ht="39.950000000000003" customHeight="1" x14ac:dyDescent="0.25">
      <c r="A38" s="6"/>
      <c r="B38" s="7"/>
      <c r="C38" s="8"/>
      <c r="D38" s="9"/>
      <c r="E38" s="8"/>
      <c r="F38" s="7"/>
      <c r="G38" s="10"/>
      <c r="H38" s="7"/>
      <c r="I38" s="7"/>
      <c r="J38" s="7"/>
      <c r="K38" s="7"/>
      <c r="L38" s="11"/>
    </row>
    <row r="39" spans="1:18" ht="39.950000000000003" customHeight="1" x14ac:dyDescent="0.25">
      <c r="A39" s="6"/>
      <c r="B39" s="7"/>
      <c r="C39" s="8"/>
      <c r="D39" s="9"/>
      <c r="E39" s="8"/>
      <c r="F39" s="7"/>
      <c r="G39" s="10"/>
      <c r="H39" s="7"/>
      <c r="I39" s="7"/>
      <c r="J39" s="7"/>
      <c r="K39" s="7"/>
      <c r="L39" s="11"/>
    </row>
    <row r="40" spans="1:18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8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8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8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8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8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8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8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8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/>
  </sheetViews>
  <sheetFormatPr defaultRowHeight="39.950000000000003" customHeight="1" x14ac:dyDescent="0.25"/>
  <cols>
    <col min="1" max="1" width="14.28515625" customWidth="1"/>
    <col min="2" max="2" width="50.85546875" customWidth="1"/>
    <col min="3" max="3" width="15" customWidth="1"/>
    <col min="4" max="4" width="10.28515625" customWidth="1"/>
    <col min="5" max="5" width="16.57031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1800</v>
      </c>
      <c r="B2" s="7" t="s">
        <v>1801</v>
      </c>
      <c r="C2" s="8">
        <v>1</v>
      </c>
      <c r="D2" s="9">
        <v>299.99</v>
      </c>
      <c r="E2" s="8" t="s">
        <v>1802</v>
      </c>
      <c r="F2" s="7" t="s">
        <v>1554</v>
      </c>
      <c r="G2" s="10" t="s">
        <v>1466</v>
      </c>
      <c r="H2" s="7" t="s">
        <v>1467</v>
      </c>
      <c r="I2" s="7" t="s">
        <v>1751</v>
      </c>
      <c r="J2" s="7"/>
      <c r="K2" s="7"/>
      <c r="L2" s="11" t="str">
        <f>HYPERLINK("http://slimages.macys.com/is/image/MCY/16687199 ")</f>
        <v xml:space="preserve">http://slimages.macys.com/is/image/MCY/16687199 </v>
      </c>
    </row>
    <row r="3" spans="1:12" ht="39.950000000000003" customHeight="1" x14ac:dyDescent="0.25">
      <c r="A3" s="6" t="s">
        <v>1803</v>
      </c>
      <c r="B3" s="7" t="s">
        <v>1804</v>
      </c>
      <c r="C3" s="8">
        <v>1</v>
      </c>
      <c r="D3" s="9">
        <v>299.99</v>
      </c>
      <c r="E3" s="8" t="s">
        <v>1805</v>
      </c>
      <c r="F3" s="7" t="s">
        <v>1549</v>
      </c>
      <c r="G3" s="10" t="s">
        <v>1466</v>
      </c>
      <c r="H3" s="7" t="s">
        <v>1467</v>
      </c>
      <c r="I3" s="7" t="s">
        <v>1751</v>
      </c>
      <c r="J3" s="7"/>
      <c r="K3" s="7"/>
      <c r="L3" s="11" t="str">
        <f>HYPERLINK("http://slimages.macys.com/is/image/MCY/17531741 ")</f>
        <v xml:space="preserve">http://slimages.macys.com/is/image/MCY/17531741 </v>
      </c>
    </row>
    <row r="4" spans="1:12" ht="39.950000000000003" customHeight="1" x14ac:dyDescent="0.25">
      <c r="A4" s="6" t="s">
        <v>1806</v>
      </c>
      <c r="B4" s="7" t="s">
        <v>1807</v>
      </c>
      <c r="C4" s="8">
        <v>1</v>
      </c>
      <c r="D4" s="9">
        <v>109.99</v>
      </c>
      <c r="E4" s="8" t="s">
        <v>1808</v>
      </c>
      <c r="F4" s="7"/>
      <c r="G4" s="10"/>
      <c r="H4" s="7" t="s">
        <v>1664</v>
      </c>
      <c r="I4" s="7" t="s">
        <v>1521</v>
      </c>
      <c r="J4" s="7"/>
      <c r="K4" s="7"/>
      <c r="L4" s="11" t="str">
        <f>HYPERLINK("http://slimages.macys.com/is/image/MCY/17900439 ")</f>
        <v xml:space="preserve">http://slimages.macys.com/is/image/MCY/17900439 </v>
      </c>
    </row>
    <row r="5" spans="1:12" ht="39.950000000000003" customHeight="1" x14ac:dyDescent="0.25">
      <c r="A5" s="6" t="s">
        <v>1809</v>
      </c>
      <c r="B5" s="7" t="s">
        <v>1810</v>
      </c>
      <c r="C5" s="8">
        <v>1</v>
      </c>
      <c r="D5" s="9">
        <v>129.99</v>
      </c>
      <c r="E5" s="8" t="s">
        <v>1811</v>
      </c>
      <c r="F5" s="7" t="s">
        <v>1525</v>
      </c>
      <c r="G5" s="10"/>
      <c r="H5" s="7" t="s">
        <v>1545</v>
      </c>
      <c r="I5" s="7" t="s">
        <v>1546</v>
      </c>
      <c r="J5" s="7"/>
      <c r="K5" s="7"/>
      <c r="L5" s="11" t="str">
        <f>HYPERLINK("http://slimages.macys.com/is/image/MCY/17450407 ")</f>
        <v xml:space="preserve">http://slimages.macys.com/is/image/MCY/17450407 </v>
      </c>
    </row>
    <row r="6" spans="1:12" ht="39.950000000000003" customHeight="1" x14ac:dyDescent="0.25">
      <c r="A6" s="6" t="s">
        <v>1812</v>
      </c>
      <c r="B6" s="7" t="s">
        <v>1813</v>
      </c>
      <c r="C6" s="8">
        <v>1</v>
      </c>
      <c r="D6" s="9">
        <v>99.99</v>
      </c>
      <c r="E6" s="8" t="s">
        <v>1814</v>
      </c>
      <c r="F6" s="7" t="s">
        <v>1531</v>
      </c>
      <c r="G6" s="10"/>
      <c r="H6" s="7" t="s">
        <v>1550</v>
      </c>
      <c r="I6" s="7" t="s">
        <v>1790</v>
      </c>
      <c r="J6" s="7"/>
      <c r="K6" s="7"/>
      <c r="L6" s="11" t="str">
        <f>HYPERLINK("http://slimages.macys.com/is/image/MCY/17662359 ")</f>
        <v xml:space="preserve">http://slimages.macys.com/is/image/MCY/17662359 </v>
      </c>
    </row>
    <row r="7" spans="1:12" ht="39.950000000000003" customHeight="1" x14ac:dyDescent="0.25">
      <c r="A7" s="6" t="s">
        <v>1815</v>
      </c>
      <c r="B7" s="7" t="s">
        <v>1816</v>
      </c>
      <c r="C7" s="8">
        <v>1</v>
      </c>
      <c r="D7" s="9">
        <v>99.99</v>
      </c>
      <c r="E7" s="8" t="s">
        <v>1817</v>
      </c>
      <c r="F7" s="7" t="s">
        <v>1544</v>
      </c>
      <c r="G7" s="10"/>
      <c r="H7" s="7" t="s">
        <v>1496</v>
      </c>
      <c r="I7" s="7" t="s">
        <v>1526</v>
      </c>
      <c r="J7" s="7" t="s">
        <v>1461</v>
      </c>
      <c r="K7" s="7" t="s">
        <v>1618</v>
      </c>
      <c r="L7" s="11" t="str">
        <f>HYPERLINK("http://slimages.macys.com/is/image/MCY/8433239 ")</f>
        <v xml:space="preserve">http://slimages.macys.com/is/image/MCY/8433239 </v>
      </c>
    </row>
    <row r="8" spans="1:12" ht="39.950000000000003" customHeight="1" x14ac:dyDescent="0.25">
      <c r="A8" s="6" t="s">
        <v>1818</v>
      </c>
      <c r="B8" s="7" t="s">
        <v>1819</v>
      </c>
      <c r="C8" s="8">
        <v>1</v>
      </c>
      <c r="D8" s="9">
        <v>93.99</v>
      </c>
      <c r="E8" s="8" t="s">
        <v>1820</v>
      </c>
      <c r="F8" s="7" t="s">
        <v>1821</v>
      </c>
      <c r="G8" s="10"/>
      <c r="H8" s="7" t="s">
        <v>1664</v>
      </c>
      <c r="I8" s="7" t="s">
        <v>1822</v>
      </c>
      <c r="J8" s="7" t="s">
        <v>1461</v>
      </c>
      <c r="K8" s="7" t="s">
        <v>1823</v>
      </c>
      <c r="L8" s="11" t="str">
        <f>HYPERLINK("http://slimages.macys.com/is/image/MCY/10890738 ")</f>
        <v xml:space="preserve">http://slimages.macys.com/is/image/MCY/10890738 </v>
      </c>
    </row>
    <row r="9" spans="1:12" ht="39.950000000000003" customHeight="1" x14ac:dyDescent="0.25">
      <c r="A9" s="6" t="s">
        <v>1824</v>
      </c>
      <c r="B9" s="7" t="s">
        <v>1825</v>
      </c>
      <c r="C9" s="8">
        <v>1</v>
      </c>
      <c r="D9" s="9">
        <v>69.989999999999995</v>
      </c>
      <c r="E9" s="8" t="s">
        <v>1826</v>
      </c>
      <c r="F9" s="7" t="s">
        <v>1495</v>
      </c>
      <c r="G9" s="10"/>
      <c r="H9" s="7" t="s">
        <v>1496</v>
      </c>
      <c r="I9" s="7" t="s">
        <v>1526</v>
      </c>
      <c r="J9" s="7" t="s">
        <v>1461</v>
      </c>
      <c r="K9" s="7" t="s">
        <v>1568</v>
      </c>
      <c r="L9" s="11" t="str">
        <f>HYPERLINK("http://slimages.macys.com/is/image/MCY/11607139 ")</f>
        <v xml:space="preserve">http://slimages.macys.com/is/image/MCY/11607139 </v>
      </c>
    </row>
    <row r="10" spans="1:12" ht="39.950000000000003" customHeight="1" x14ac:dyDescent="0.25">
      <c r="A10" s="6" t="s">
        <v>1827</v>
      </c>
      <c r="B10" s="7" t="s">
        <v>1828</v>
      </c>
      <c r="C10" s="8">
        <v>1</v>
      </c>
      <c r="D10" s="9">
        <v>59.99</v>
      </c>
      <c r="E10" s="8" t="s">
        <v>1829</v>
      </c>
      <c r="F10" s="7" t="s">
        <v>1544</v>
      </c>
      <c r="G10" s="10"/>
      <c r="H10" s="7" t="s">
        <v>1555</v>
      </c>
      <c r="I10" s="7" t="s">
        <v>1830</v>
      </c>
      <c r="J10" s="7" t="s">
        <v>1461</v>
      </c>
      <c r="K10" s="7" t="s">
        <v>1831</v>
      </c>
      <c r="L10" s="11" t="str">
        <f>HYPERLINK("http://slimages.macys.com/is/image/MCY/13036438 ")</f>
        <v xml:space="preserve">http://slimages.macys.com/is/image/MCY/13036438 </v>
      </c>
    </row>
    <row r="11" spans="1:12" ht="39.950000000000003" customHeight="1" x14ac:dyDescent="0.25">
      <c r="A11" s="6" t="s">
        <v>1832</v>
      </c>
      <c r="B11" s="7" t="s">
        <v>1833</v>
      </c>
      <c r="C11" s="8">
        <v>1</v>
      </c>
      <c r="D11" s="9">
        <v>51.99</v>
      </c>
      <c r="E11" s="8" t="s">
        <v>1834</v>
      </c>
      <c r="F11" s="7" t="s">
        <v>1458</v>
      </c>
      <c r="G11" s="10"/>
      <c r="H11" s="7" t="s">
        <v>1562</v>
      </c>
      <c r="I11" s="7" t="s">
        <v>1693</v>
      </c>
      <c r="J11" s="7" t="s">
        <v>1461</v>
      </c>
      <c r="K11" s="7" t="s">
        <v>1835</v>
      </c>
      <c r="L11" s="11" t="str">
        <f>HYPERLINK("http://slimages.macys.com/is/image/MCY/11798554 ")</f>
        <v xml:space="preserve">http://slimages.macys.com/is/image/MCY/11798554 </v>
      </c>
    </row>
    <row r="12" spans="1:12" ht="39.950000000000003" customHeight="1" x14ac:dyDescent="0.25">
      <c r="A12" s="6" t="s">
        <v>1836</v>
      </c>
      <c r="B12" s="7" t="s">
        <v>1837</v>
      </c>
      <c r="C12" s="8">
        <v>1</v>
      </c>
      <c r="D12" s="9">
        <v>29.99</v>
      </c>
      <c r="E12" s="8" t="s">
        <v>1838</v>
      </c>
      <c r="F12" s="7" t="s">
        <v>1560</v>
      </c>
      <c r="G12" s="10"/>
      <c r="H12" s="7" t="s">
        <v>1605</v>
      </c>
      <c r="I12" s="7" t="s">
        <v>1839</v>
      </c>
      <c r="J12" s="7"/>
      <c r="K12" s="7"/>
      <c r="L12" s="11" t="str">
        <f>HYPERLINK("http://slimages.macys.com/is/image/MCY/18757763 ")</f>
        <v xml:space="preserve">http://slimages.macys.com/is/image/MCY/18757763 </v>
      </c>
    </row>
    <row r="13" spans="1:12" ht="39.950000000000003" customHeight="1" x14ac:dyDescent="0.25">
      <c r="A13" s="6" t="s">
        <v>1840</v>
      </c>
      <c r="B13" s="7" t="s">
        <v>1841</v>
      </c>
      <c r="C13" s="8">
        <v>1</v>
      </c>
      <c r="D13" s="9">
        <v>39.99</v>
      </c>
      <c r="E13" s="8">
        <v>130113</v>
      </c>
      <c r="F13" s="7" t="s">
        <v>1576</v>
      </c>
      <c r="G13" s="10"/>
      <c r="H13" s="7" t="s">
        <v>1562</v>
      </c>
      <c r="I13" s="7" t="s">
        <v>1842</v>
      </c>
      <c r="J13" s="7" t="s">
        <v>1461</v>
      </c>
      <c r="K13" s="7" t="s">
        <v>1843</v>
      </c>
      <c r="L13" s="11" t="str">
        <f>HYPERLINK("http://slimages.macys.com/is/image/MCY/3895749 ")</f>
        <v xml:space="preserve">http://slimages.macys.com/is/image/MCY/3895749 </v>
      </c>
    </row>
    <row r="14" spans="1:12" ht="39.950000000000003" customHeight="1" x14ac:dyDescent="0.25">
      <c r="A14" s="6" t="s">
        <v>1844</v>
      </c>
      <c r="B14" s="7" t="s">
        <v>1845</v>
      </c>
      <c r="C14" s="8">
        <v>1</v>
      </c>
      <c r="D14" s="9">
        <v>39.99</v>
      </c>
      <c r="E14" s="8">
        <v>130106</v>
      </c>
      <c r="F14" s="7" t="s">
        <v>1482</v>
      </c>
      <c r="G14" s="10" t="s">
        <v>1846</v>
      </c>
      <c r="H14" s="7" t="s">
        <v>1562</v>
      </c>
      <c r="I14" s="7" t="s">
        <v>1842</v>
      </c>
      <c r="J14" s="7" t="s">
        <v>1461</v>
      </c>
      <c r="K14" s="7" t="s">
        <v>1564</v>
      </c>
      <c r="L14" s="11" t="str">
        <f>HYPERLINK("http://slimages.macys.com/is/image/MCY/3895749 ")</f>
        <v xml:space="preserve">http://slimages.macys.com/is/image/MCY/3895749 </v>
      </c>
    </row>
    <row r="15" spans="1:12" ht="39.950000000000003" customHeight="1" x14ac:dyDescent="0.25">
      <c r="A15" s="6" t="s">
        <v>1847</v>
      </c>
      <c r="B15" s="7" t="s">
        <v>1848</v>
      </c>
      <c r="C15" s="8">
        <v>1</v>
      </c>
      <c r="D15" s="9">
        <v>29.99</v>
      </c>
      <c r="E15" s="8" t="s">
        <v>1849</v>
      </c>
      <c r="F15" s="7" t="s">
        <v>1651</v>
      </c>
      <c r="G15" s="10" t="s">
        <v>1850</v>
      </c>
      <c r="H15" s="7" t="s">
        <v>1851</v>
      </c>
      <c r="I15" s="7" t="s">
        <v>1852</v>
      </c>
      <c r="J15" s="7" t="s">
        <v>1600</v>
      </c>
      <c r="K15" s="7"/>
      <c r="L15" s="11" t="str">
        <f>HYPERLINK("http://slimages.macys.com/is/image/MCY/9526176 ")</f>
        <v xml:space="preserve">http://slimages.macys.com/is/image/MCY/9526176 </v>
      </c>
    </row>
    <row r="16" spans="1:12" ht="39.950000000000003" customHeight="1" x14ac:dyDescent="0.25">
      <c r="A16" s="6" t="s">
        <v>1853</v>
      </c>
      <c r="B16" s="7" t="s">
        <v>1854</v>
      </c>
      <c r="C16" s="8">
        <v>1</v>
      </c>
      <c r="D16" s="9">
        <v>18.989999999999998</v>
      </c>
      <c r="E16" s="8" t="s">
        <v>1855</v>
      </c>
      <c r="F16" s="7" t="s">
        <v>1856</v>
      </c>
      <c r="G16" s="10"/>
      <c r="H16" s="7" t="s">
        <v>1555</v>
      </c>
      <c r="I16" s="7" t="s">
        <v>1857</v>
      </c>
      <c r="J16" s="7" t="s">
        <v>1461</v>
      </c>
      <c r="K16" s="7" t="s">
        <v>1564</v>
      </c>
      <c r="L16" s="11" t="str">
        <f>HYPERLINK("http://slimages.macys.com/is/image/MCY/8967150 ")</f>
        <v xml:space="preserve">http://slimages.macys.com/is/image/MCY/8967150 </v>
      </c>
    </row>
    <row r="17" spans="1:12" ht="39.950000000000003" customHeight="1" x14ac:dyDescent="0.25">
      <c r="A17" s="6" t="s">
        <v>1858</v>
      </c>
      <c r="B17" s="7" t="s">
        <v>1859</v>
      </c>
      <c r="C17" s="8">
        <v>2</v>
      </c>
      <c r="D17" s="9">
        <v>33.979999999999997</v>
      </c>
      <c r="E17" s="8" t="s">
        <v>1860</v>
      </c>
      <c r="F17" s="7" t="s">
        <v>1785</v>
      </c>
      <c r="G17" s="10" t="s">
        <v>1577</v>
      </c>
      <c r="H17" s="7" t="s">
        <v>1578</v>
      </c>
      <c r="I17" s="7" t="s">
        <v>1579</v>
      </c>
      <c r="J17" s="7" t="s">
        <v>1461</v>
      </c>
      <c r="K17" s="7" t="s">
        <v>1623</v>
      </c>
      <c r="L17" s="11" t="str">
        <f>HYPERLINK("http://slimages.macys.com/is/image/MCY/12737864 ")</f>
        <v xml:space="preserve">http://slimages.macys.com/is/image/MCY/12737864 </v>
      </c>
    </row>
    <row r="18" spans="1:12" ht="39.950000000000003" customHeight="1" x14ac:dyDescent="0.25">
      <c r="A18" s="6" t="s">
        <v>1861</v>
      </c>
      <c r="B18" s="7" t="s">
        <v>1862</v>
      </c>
      <c r="C18" s="8">
        <v>1</v>
      </c>
      <c r="D18" s="9">
        <v>9.99</v>
      </c>
      <c r="E18" s="8" t="s">
        <v>1863</v>
      </c>
      <c r="F18" s="7" t="s">
        <v>1864</v>
      </c>
      <c r="G18" s="10" t="s">
        <v>1577</v>
      </c>
      <c r="H18" s="7" t="s">
        <v>1578</v>
      </c>
      <c r="I18" s="7" t="s">
        <v>1622</v>
      </c>
      <c r="J18" s="7" t="s">
        <v>1461</v>
      </c>
      <c r="K18" s="7" t="s">
        <v>1527</v>
      </c>
      <c r="L18" s="11" t="str">
        <f>HYPERLINK("http://slimages.macys.com/is/image/MCY/8296105 ")</f>
        <v xml:space="preserve">http://slimages.macys.com/is/image/MCY/8296105 </v>
      </c>
    </row>
    <row r="19" spans="1:12" ht="39.950000000000003" customHeight="1" x14ac:dyDescent="0.25">
      <c r="A19" s="6" t="s">
        <v>1865</v>
      </c>
      <c r="B19" s="7" t="s">
        <v>1866</v>
      </c>
      <c r="C19" s="8">
        <v>1</v>
      </c>
      <c r="D19" s="9">
        <v>9.99</v>
      </c>
      <c r="E19" s="8" t="s">
        <v>1867</v>
      </c>
      <c r="F19" s="7" t="s">
        <v>1868</v>
      </c>
      <c r="G19" s="10" t="s">
        <v>1577</v>
      </c>
      <c r="H19" s="7" t="s">
        <v>1578</v>
      </c>
      <c r="I19" s="7" t="s">
        <v>1622</v>
      </c>
      <c r="J19" s="7" t="s">
        <v>1461</v>
      </c>
      <c r="K19" s="7" t="s">
        <v>1623</v>
      </c>
      <c r="L19" s="11" t="str">
        <f>HYPERLINK("http://slimages.macys.com/is/image/MCY/12723168 ")</f>
        <v xml:space="preserve">http://slimages.macys.com/is/image/MCY/12723168 </v>
      </c>
    </row>
    <row r="20" spans="1:12" ht="39.950000000000003" customHeight="1" x14ac:dyDescent="0.25">
      <c r="A20" s="6" t="s">
        <v>1869</v>
      </c>
      <c r="B20" s="7" t="s">
        <v>1870</v>
      </c>
      <c r="C20" s="8">
        <v>1</v>
      </c>
      <c r="D20" s="9">
        <v>13.99</v>
      </c>
      <c r="E20" s="8" t="s">
        <v>1871</v>
      </c>
      <c r="F20" s="7" t="s">
        <v>1554</v>
      </c>
      <c r="G20" s="10" t="s">
        <v>1872</v>
      </c>
      <c r="H20" s="7" t="s">
        <v>1692</v>
      </c>
      <c r="I20" s="7" t="s">
        <v>1873</v>
      </c>
      <c r="J20" s="7"/>
      <c r="K20" s="7"/>
      <c r="L20" s="11" t="str">
        <f>HYPERLINK("http://slimages.macys.com/is/image/MCY/17899743 ")</f>
        <v xml:space="preserve">http://slimages.macys.com/is/image/MCY/17899743 </v>
      </c>
    </row>
    <row r="21" spans="1:12" ht="39.950000000000003" customHeight="1" x14ac:dyDescent="0.25">
      <c r="A21" s="6" t="s">
        <v>1874</v>
      </c>
      <c r="B21" s="7" t="s">
        <v>1875</v>
      </c>
      <c r="C21" s="8">
        <v>1</v>
      </c>
      <c r="D21" s="9">
        <v>9.99</v>
      </c>
      <c r="E21" s="8" t="s">
        <v>1876</v>
      </c>
      <c r="F21" s="7" t="s">
        <v>1877</v>
      </c>
      <c r="G21" s="10" t="s">
        <v>1577</v>
      </c>
      <c r="H21" s="7" t="s">
        <v>1578</v>
      </c>
      <c r="I21" s="7" t="s">
        <v>1622</v>
      </c>
      <c r="J21" s="7" t="s">
        <v>1461</v>
      </c>
      <c r="K21" s="7" t="s">
        <v>1623</v>
      </c>
      <c r="L21" s="11" t="str">
        <f>HYPERLINK("http://slimages.macys.com/is/image/MCY/13078031 ")</f>
        <v xml:space="preserve">http://slimages.macys.com/is/image/MCY/13078031 </v>
      </c>
    </row>
    <row r="22" spans="1:12" ht="39.950000000000003" customHeight="1" x14ac:dyDescent="0.25">
      <c r="A22" s="6" t="s">
        <v>1878</v>
      </c>
      <c r="B22" s="7" t="s">
        <v>1879</v>
      </c>
      <c r="C22" s="8">
        <v>1</v>
      </c>
      <c r="D22" s="9">
        <v>9.99</v>
      </c>
      <c r="E22" s="8" t="s">
        <v>1880</v>
      </c>
      <c r="F22" s="7" t="s">
        <v>1544</v>
      </c>
      <c r="G22" s="10" t="s">
        <v>1577</v>
      </c>
      <c r="H22" s="7" t="s">
        <v>1578</v>
      </c>
      <c r="I22" s="7" t="s">
        <v>1622</v>
      </c>
      <c r="J22" s="7" t="s">
        <v>1461</v>
      </c>
      <c r="K22" s="7" t="s">
        <v>1623</v>
      </c>
      <c r="L22" s="11" t="str">
        <f>HYPERLINK("http://slimages.macys.com/is/image/MCY/12723168 ")</f>
        <v xml:space="preserve">http://slimages.macys.com/is/image/MCY/12723168 </v>
      </c>
    </row>
    <row r="23" spans="1:12" ht="39.950000000000003" customHeight="1" x14ac:dyDescent="0.25">
      <c r="A23" s="6" t="s">
        <v>1649</v>
      </c>
      <c r="B23" s="7" t="s">
        <v>1650</v>
      </c>
      <c r="C23" s="8">
        <v>14</v>
      </c>
      <c r="D23" s="9">
        <v>560</v>
      </c>
      <c r="E23" s="8"/>
      <c r="F23" s="7" t="s">
        <v>1651</v>
      </c>
      <c r="G23" s="10" t="s">
        <v>1561</v>
      </c>
      <c r="H23" s="7" t="s">
        <v>1652</v>
      </c>
      <c r="I23" s="7" t="s">
        <v>1653</v>
      </c>
      <c r="J23" s="7"/>
      <c r="K23" s="7"/>
      <c r="L23" s="11"/>
    </row>
    <row r="24" spans="1:12" ht="39.950000000000003" customHeight="1" x14ac:dyDescent="0.25">
      <c r="A24" s="6"/>
      <c r="B24" s="7"/>
      <c r="C24" s="8"/>
      <c r="D24" s="9"/>
      <c r="E24" s="8"/>
      <c r="F24" s="7"/>
      <c r="G24" s="10"/>
      <c r="H24" s="7"/>
      <c r="I24" s="7"/>
      <c r="J24" s="7"/>
      <c r="K24" s="7"/>
      <c r="L24" s="11"/>
    </row>
    <row r="25" spans="1:12" ht="39.950000000000003" customHeight="1" x14ac:dyDescent="0.25">
      <c r="A25" s="6"/>
      <c r="B25" s="7"/>
      <c r="C25" s="8"/>
      <c r="D25" s="9"/>
      <c r="E25" s="8"/>
      <c r="F25" s="7"/>
      <c r="G25" s="10"/>
      <c r="H25" s="7"/>
      <c r="I25" s="7"/>
      <c r="J25" s="7"/>
      <c r="K25" s="7"/>
      <c r="L25" s="11"/>
    </row>
    <row r="26" spans="1:12" ht="39.950000000000003" customHeight="1" x14ac:dyDescent="0.25">
      <c r="A26" s="6"/>
      <c r="B26" s="7"/>
      <c r="C26" s="8"/>
      <c r="D26" s="9"/>
      <c r="E26" s="8"/>
      <c r="F26" s="7"/>
      <c r="G26" s="10"/>
      <c r="H26" s="7"/>
      <c r="I26" s="7"/>
      <c r="J26" s="7"/>
      <c r="K26" s="7"/>
      <c r="L26" s="11"/>
    </row>
    <row r="27" spans="1:12" ht="39.950000000000003" customHeight="1" x14ac:dyDescent="0.25">
      <c r="A27" s="6"/>
      <c r="B27" s="7"/>
      <c r="C27" s="8"/>
      <c r="D27" s="9"/>
      <c r="E27" s="8"/>
      <c r="F27" s="7"/>
      <c r="G27" s="10"/>
      <c r="H27" s="7"/>
      <c r="I27" s="7"/>
      <c r="J27" s="7"/>
      <c r="K27" s="7"/>
      <c r="L27" s="11"/>
    </row>
    <row r="28" spans="1:12" ht="39.950000000000003" customHeight="1" x14ac:dyDescent="0.25">
      <c r="A28" s="6"/>
      <c r="B28" s="7"/>
      <c r="C28" s="8"/>
      <c r="D28" s="9"/>
      <c r="E28" s="8"/>
      <c r="F28" s="7"/>
      <c r="G28" s="10"/>
      <c r="H28" s="7"/>
      <c r="I28" s="7"/>
      <c r="J28" s="7"/>
      <c r="K28" s="7"/>
      <c r="L28" s="11"/>
    </row>
    <row r="29" spans="1:12" ht="39.950000000000003" customHeight="1" x14ac:dyDescent="0.25">
      <c r="A29" s="6"/>
      <c r="B29" s="7"/>
      <c r="C29" s="8"/>
      <c r="D29" s="9"/>
      <c r="E29" s="8"/>
      <c r="F29" s="7"/>
      <c r="G29" s="10"/>
      <c r="H29" s="7"/>
      <c r="I29" s="7"/>
      <c r="J29" s="7"/>
      <c r="K29" s="7"/>
      <c r="L29" s="11"/>
    </row>
    <row r="30" spans="1:12" ht="39.950000000000003" customHeight="1" x14ac:dyDescent="0.25">
      <c r="A30" s="6"/>
      <c r="B30" s="7"/>
      <c r="C30" s="8"/>
      <c r="D30" s="9"/>
      <c r="E30" s="8"/>
      <c r="F30" s="7"/>
      <c r="G30" s="10"/>
      <c r="H30" s="7"/>
      <c r="I30" s="7"/>
      <c r="J30" s="7"/>
      <c r="K30" s="7"/>
      <c r="L30" s="11"/>
    </row>
    <row r="31" spans="1:12" ht="39.950000000000003" customHeight="1" x14ac:dyDescent="0.25">
      <c r="A31" s="6"/>
      <c r="B31" s="7"/>
      <c r="C31" s="8"/>
      <c r="D31" s="9"/>
      <c r="E31" s="8"/>
      <c r="F31" s="7"/>
      <c r="G31" s="10"/>
      <c r="H31" s="7"/>
      <c r="I31" s="7"/>
      <c r="J31" s="7"/>
      <c r="K31" s="7"/>
      <c r="L31" s="11"/>
    </row>
    <row r="32" spans="1:12" ht="39.950000000000003" customHeight="1" x14ac:dyDescent="0.25">
      <c r="A32" s="6"/>
      <c r="B32" s="7"/>
      <c r="C32" s="8"/>
      <c r="D32" s="9"/>
      <c r="E32" s="8"/>
      <c r="F32" s="7"/>
      <c r="G32" s="10"/>
      <c r="H32" s="7"/>
      <c r="I32" s="7"/>
      <c r="J32" s="7"/>
      <c r="K32" s="7"/>
      <c r="L32" s="11"/>
    </row>
    <row r="33" spans="1:12" ht="39.950000000000003" customHeight="1" x14ac:dyDescent="0.25">
      <c r="A33" s="6"/>
      <c r="B33" s="7"/>
      <c r="C33" s="8"/>
      <c r="D33" s="9"/>
      <c r="E33" s="8"/>
      <c r="F33" s="7"/>
      <c r="G33" s="10"/>
      <c r="H33" s="7"/>
      <c r="I33" s="7"/>
      <c r="J33" s="7"/>
      <c r="K33" s="7"/>
      <c r="L33" s="11"/>
    </row>
    <row r="34" spans="1:12" ht="39.950000000000003" customHeight="1" x14ac:dyDescent="0.25">
      <c r="A34" s="6"/>
      <c r="B34" s="7"/>
      <c r="C34" s="8"/>
      <c r="D34" s="9"/>
      <c r="E34" s="8"/>
      <c r="F34" s="7"/>
      <c r="G34" s="10"/>
      <c r="H34" s="7"/>
      <c r="I34" s="7"/>
      <c r="J34" s="7"/>
      <c r="K34" s="7"/>
      <c r="L34" s="11"/>
    </row>
    <row r="35" spans="1:12" ht="39.950000000000003" customHeight="1" x14ac:dyDescent="0.25">
      <c r="A35" s="6"/>
      <c r="B35" s="7"/>
      <c r="C35" s="8"/>
      <c r="D35" s="9"/>
      <c r="E35" s="8"/>
      <c r="F35" s="7"/>
      <c r="G35" s="10"/>
      <c r="H35" s="7"/>
      <c r="I35" s="7"/>
      <c r="J35" s="7"/>
      <c r="K35" s="7"/>
      <c r="L35" s="11"/>
    </row>
    <row r="36" spans="1:12" ht="39.950000000000003" customHeight="1" x14ac:dyDescent="0.25">
      <c r="A36" s="6"/>
      <c r="B36" s="7"/>
      <c r="C36" s="8"/>
      <c r="D36" s="9"/>
      <c r="E36" s="8"/>
      <c r="F36" s="7"/>
      <c r="G36" s="10"/>
      <c r="H36" s="7"/>
      <c r="I36" s="7"/>
      <c r="J36" s="7"/>
      <c r="K36" s="7"/>
      <c r="L36" s="11"/>
    </row>
    <row r="37" spans="1:12" ht="39.950000000000003" customHeight="1" x14ac:dyDescent="0.25">
      <c r="A37" s="6"/>
      <c r="B37" s="7"/>
      <c r="C37" s="8"/>
      <c r="D37" s="9"/>
      <c r="E37" s="8"/>
      <c r="F37" s="7"/>
      <c r="G37" s="10"/>
      <c r="H37" s="7"/>
      <c r="I37" s="7"/>
      <c r="J37" s="7"/>
      <c r="K37" s="7"/>
      <c r="L37" s="11"/>
    </row>
    <row r="38" spans="1:12" ht="39.950000000000003" customHeight="1" x14ac:dyDescent="0.25">
      <c r="A38" s="6"/>
      <c r="B38" s="7"/>
      <c r="C38" s="8"/>
      <c r="D38" s="9"/>
      <c r="E38" s="8"/>
      <c r="F38" s="7"/>
      <c r="G38" s="10"/>
      <c r="H38" s="7"/>
      <c r="I38" s="7"/>
      <c r="J38" s="7"/>
      <c r="K38" s="7"/>
      <c r="L38" s="11"/>
    </row>
    <row r="39" spans="1:12" ht="39.950000000000003" customHeight="1" x14ac:dyDescent="0.25">
      <c r="A39" s="6"/>
      <c r="B39" s="7"/>
      <c r="C39" s="8"/>
      <c r="D39" s="9"/>
      <c r="E39" s="8"/>
      <c r="F39" s="7"/>
      <c r="G39" s="10"/>
      <c r="H39" s="7"/>
      <c r="I39" s="7"/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1881</v>
      </c>
      <c r="B2" s="7" t="s">
        <v>1882</v>
      </c>
      <c r="C2" s="8">
        <v>1</v>
      </c>
      <c r="D2" s="9">
        <v>349.99</v>
      </c>
      <c r="E2" s="8" t="s">
        <v>1883</v>
      </c>
      <c r="F2" s="7" t="s">
        <v>1544</v>
      </c>
      <c r="G2" s="10"/>
      <c r="H2" s="7" t="s">
        <v>1764</v>
      </c>
      <c r="I2" s="7" t="s">
        <v>1884</v>
      </c>
      <c r="J2" s="7"/>
      <c r="K2" s="7"/>
      <c r="L2" s="11" t="str">
        <f>HYPERLINK("http://slimages.macys.com/is/image/MCY/18651601 ")</f>
        <v xml:space="preserve">http://slimages.macys.com/is/image/MCY/18651601 </v>
      </c>
    </row>
    <row r="3" spans="1:12" ht="39.950000000000003" customHeight="1" x14ac:dyDescent="0.25">
      <c r="A3" s="6" t="s">
        <v>1885</v>
      </c>
      <c r="B3" s="7" t="s">
        <v>1886</v>
      </c>
      <c r="C3" s="8">
        <v>1</v>
      </c>
      <c r="D3" s="9">
        <v>299.99</v>
      </c>
      <c r="E3" s="8" t="s">
        <v>1887</v>
      </c>
      <c r="F3" s="7" t="s">
        <v>1458</v>
      </c>
      <c r="G3" s="10"/>
      <c r="H3" s="7" t="s">
        <v>1459</v>
      </c>
      <c r="I3" s="7" t="s">
        <v>1460</v>
      </c>
      <c r="J3" s="7" t="s">
        <v>1461</v>
      </c>
      <c r="K3" s="7" t="s">
        <v>1462</v>
      </c>
      <c r="L3" s="11" t="str">
        <f>HYPERLINK("http://slimages.macys.com/is/image/MCY/3969345 ")</f>
        <v xml:space="preserve">http://slimages.macys.com/is/image/MCY/3969345 </v>
      </c>
    </row>
    <row r="4" spans="1:12" ht="39.950000000000003" customHeight="1" x14ac:dyDescent="0.25">
      <c r="A4" s="6" t="s">
        <v>1888</v>
      </c>
      <c r="B4" s="7" t="s">
        <v>1889</v>
      </c>
      <c r="C4" s="8">
        <v>1</v>
      </c>
      <c r="D4" s="9">
        <v>299.99</v>
      </c>
      <c r="E4" s="8" t="s">
        <v>1890</v>
      </c>
      <c r="F4" s="7" t="s">
        <v>1544</v>
      </c>
      <c r="G4" s="10"/>
      <c r="H4" s="7" t="s">
        <v>1467</v>
      </c>
      <c r="I4" s="7" t="s">
        <v>1468</v>
      </c>
      <c r="J4" s="7" t="s">
        <v>1461</v>
      </c>
      <c r="K4" s="7"/>
      <c r="L4" s="11" t="str">
        <f>HYPERLINK("http://slimages.macys.com/is/image/MCY/10467368 ")</f>
        <v xml:space="preserve">http://slimages.macys.com/is/image/MCY/10467368 </v>
      </c>
    </row>
    <row r="5" spans="1:12" ht="39.950000000000003" customHeight="1" x14ac:dyDescent="0.25">
      <c r="A5" s="6" t="s">
        <v>1891</v>
      </c>
      <c r="B5" s="7" t="s">
        <v>1892</v>
      </c>
      <c r="C5" s="8">
        <v>1</v>
      </c>
      <c r="D5" s="9">
        <v>149.99</v>
      </c>
      <c r="E5" s="8" t="s">
        <v>1893</v>
      </c>
      <c r="F5" s="7" t="s">
        <v>1477</v>
      </c>
      <c r="G5" s="10"/>
      <c r="H5" s="7" t="s">
        <v>1764</v>
      </c>
      <c r="I5" s="7" t="s">
        <v>1894</v>
      </c>
      <c r="J5" s="7" t="s">
        <v>1461</v>
      </c>
      <c r="K5" s="7" t="s">
        <v>1895</v>
      </c>
      <c r="L5" s="11" t="str">
        <f>HYPERLINK("http://slimages.macys.com/is/image/MCY/14426659 ")</f>
        <v xml:space="preserve">http://slimages.macys.com/is/image/MCY/14426659 </v>
      </c>
    </row>
    <row r="6" spans="1:12" ht="39.950000000000003" customHeight="1" x14ac:dyDescent="0.25">
      <c r="A6" s="6" t="s">
        <v>1896</v>
      </c>
      <c r="B6" s="7" t="s">
        <v>1897</v>
      </c>
      <c r="C6" s="8">
        <v>1</v>
      </c>
      <c r="D6" s="9">
        <v>189.99</v>
      </c>
      <c r="E6" s="8" t="s">
        <v>1898</v>
      </c>
      <c r="F6" s="7" t="s">
        <v>1458</v>
      </c>
      <c r="G6" s="10" t="s">
        <v>1466</v>
      </c>
      <c r="H6" s="7" t="s">
        <v>1459</v>
      </c>
      <c r="I6" s="7" t="s">
        <v>1899</v>
      </c>
      <c r="J6" s="7" t="s">
        <v>1461</v>
      </c>
      <c r="K6" s="7" t="s">
        <v>1900</v>
      </c>
      <c r="L6" s="11" t="str">
        <f>HYPERLINK("http://slimages.macys.com/is/image/MCY/11935772 ")</f>
        <v xml:space="preserve">http://slimages.macys.com/is/image/MCY/11935772 </v>
      </c>
    </row>
    <row r="7" spans="1:12" ht="39.950000000000003" customHeight="1" x14ac:dyDescent="0.25">
      <c r="A7" s="6" t="s">
        <v>1901</v>
      </c>
      <c r="B7" s="7" t="s">
        <v>1902</v>
      </c>
      <c r="C7" s="8">
        <v>1</v>
      </c>
      <c r="D7" s="9">
        <v>199.99</v>
      </c>
      <c r="E7" s="8" t="s">
        <v>1903</v>
      </c>
      <c r="F7" s="7" t="s">
        <v>1519</v>
      </c>
      <c r="G7" s="10" t="s">
        <v>1466</v>
      </c>
      <c r="H7" s="7" t="s">
        <v>1550</v>
      </c>
      <c r="I7" s="7" t="s">
        <v>1617</v>
      </c>
      <c r="J7" s="7" t="s">
        <v>1461</v>
      </c>
      <c r="K7" s="7" t="s">
        <v>1904</v>
      </c>
      <c r="L7" s="11" t="str">
        <f>HYPERLINK("http://slimages.macys.com/is/image/MCY/10264817 ")</f>
        <v xml:space="preserve">http://slimages.macys.com/is/image/MCY/10264817 </v>
      </c>
    </row>
    <row r="8" spans="1:12" ht="39.950000000000003" customHeight="1" x14ac:dyDescent="0.25">
      <c r="A8" s="6" t="s">
        <v>1905</v>
      </c>
      <c r="B8" s="7" t="s">
        <v>1906</v>
      </c>
      <c r="C8" s="8">
        <v>1</v>
      </c>
      <c r="D8" s="9">
        <v>129.99</v>
      </c>
      <c r="E8" s="8" t="s">
        <v>1907</v>
      </c>
      <c r="F8" s="7" t="s">
        <v>1458</v>
      </c>
      <c r="G8" s="10" t="s">
        <v>1908</v>
      </c>
      <c r="H8" s="7" t="s">
        <v>1483</v>
      </c>
      <c r="I8" s="7" t="s">
        <v>1909</v>
      </c>
      <c r="J8" s="7" t="s">
        <v>1461</v>
      </c>
      <c r="K8" s="7" t="s">
        <v>1618</v>
      </c>
      <c r="L8" s="11" t="str">
        <f>HYPERLINK("http://slimages.macys.com/is/image/MCY/9708362 ")</f>
        <v xml:space="preserve">http://slimages.macys.com/is/image/MCY/9708362 </v>
      </c>
    </row>
    <row r="9" spans="1:12" ht="39.950000000000003" customHeight="1" x14ac:dyDescent="0.25">
      <c r="A9" s="6" t="s">
        <v>1910</v>
      </c>
      <c r="B9" s="7" t="s">
        <v>1911</v>
      </c>
      <c r="C9" s="8">
        <v>1</v>
      </c>
      <c r="D9" s="9">
        <v>149.99</v>
      </c>
      <c r="E9" s="8" t="s">
        <v>1912</v>
      </c>
      <c r="F9" s="7" t="s">
        <v>1495</v>
      </c>
      <c r="G9" s="10"/>
      <c r="H9" s="7" t="s">
        <v>1496</v>
      </c>
      <c r="I9" s="7" t="s">
        <v>1526</v>
      </c>
      <c r="J9" s="7" t="s">
        <v>1461</v>
      </c>
      <c r="K9" s="7" t="s">
        <v>1913</v>
      </c>
      <c r="L9" s="11" t="str">
        <f>HYPERLINK("http://slimages.macys.com/is/image/MCY/14883564 ")</f>
        <v xml:space="preserve">http://slimages.macys.com/is/image/MCY/14883564 </v>
      </c>
    </row>
    <row r="10" spans="1:12" ht="39.950000000000003" customHeight="1" x14ac:dyDescent="0.25">
      <c r="A10" s="6" t="s">
        <v>1914</v>
      </c>
      <c r="B10" s="7" t="s">
        <v>1915</v>
      </c>
      <c r="C10" s="8">
        <v>1</v>
      </c>
      <c r="D10" s="9">
        <v>149.99</v>
      </c>
      <c r="E10" s="8" t="s">
        <v>1916</v>
      </c>
      <c r="F10" s="7" t="s">
        <v>1560</v>
      </c>
      <c r="G10" s="10"/>
      <c r="H10" s="7" t="s">
        <v>1545</v>
      </c>
      <c r="I10" s="7" t="s">
        <v>1546</v>
      </c>
      <c r="J10" s="7"/>
      <c r="K10" s="7"/>
      <c r="L10" s="11" t="str">
        <f>HYPERLINK("http://slimages.macys.com/is/image/MCY/18400105 ")</f>
        <v xml:space="preserve">http://slimages.macys.com/is/image/MCY/18400105 </v>
      </c>
    </row>
    <row r="11" spans="1:12" ht="39.950000000000003" customHeight="1" x14ac:dyDescent="0.25">
      <c r="A11" s="6" t="s">
        <v>1917</v>
      </c>
      <c r="B11" s="7" t="s">
        <v>1918</v>
      </c>
      <c r="C11" s="8">
        <v>1</v>
      </c>
      <c r="D11" s="9">
        <v>99.99</v>
      </c>
      <c r="E11" s="8" t="s">
        <v>1919</v>
      </c>
      <c r="F11" s="7" t="s">
        <v>1877</v>
      </c>
      <c r="G11" s="10"/>
      <c r="H11" s="7" t="s">
        <v>1496</v>
      </c>
      <c r="I11" s="7" t="s">
        <v>1526</v>
      </c>
      <c r="J11" s="7" t="s">
        <v>1461</v>
      </c>
      <c r="K11" s="7" t="s">
        <v>1568</v>
      </c>
      <c r="L11" s="11" t="str">
        <f>HYPERLINK("http://slimages.macys.com/is/image/MCY/11607139 ")</f>
        <v xml:space="preserve">http://slimages.macys.com/is/image/MCY/11607139 </v>
      </c>
    </row>
    <row r="12" spans="1:12" ht="39.950000000000003" customHeight="1" x14ac:dyDescent="0.25">
      <c r="A12" s="6" t="s">
        <v>1920</v>
      </c>
      <c r="B12" s="7" t="s">
        <v>1921</v>
      </c>
      <c r="C12" s="8">
        <v>1</v>
      </c>
      <c r="D12" s="9">
        <v>99.99</v>
      </c>
      <c r="E12" s="8" t="s">
        <v>1922</v>
      </c>
      <c r="F12" s="7" t="s">
        <v>1519</v>
      </c>
      <c r="G12" s="10"/>
      <c r="H12" s="7" t="s">
        <v>1664</v>
      </c>
      <c r="I12" s="7" t="s">
        <v>1588</v>
      </c>
      <c r="J12" s="7" t="s">
        <v>1461</v>
      </c>
      <c r="K12" s="7" t="s">
        <v>1564</v>
      </c>
      <c r="L12" s="11" t="str">
        <f>HYPERLINK("http://slimages.macys.com/is/image/MCY/12302410 ")</f>
        <v xml:space="preserve">http://slimages.macys.com/is/image/MCY/12302410 </v>
      </c>
    </row>
    <row r="13" spans="1:12" ht="39.950000000000003" customHeight="1" x14ac:dyDescent="0.25">
      <c r="A13" s="6" t="s">
        <v>1923</v>
      </c>
      <c r="B13" s="7" t="s">
        <v>1924</v>
      </c>
      <c r="C13" s="8">
        <v>1</v>
      </c>
      <c r="D13" s="9">
        <v>119.99</v>
      </c>
      <c r="E13" s="8" t="s">
        <v>1925</v>
      </c>
      <c r="F13" s="7" t="s">
        <v>1531</v>
      </c>
      <c r="G13" s="10"/>
      <c r="H13" s="7" t="s">
        <v>1545</v>
      </c>
      <c r="I13" s="7" t="s">
        <v>1546</v>
      </c>
      <c r="J13" s="7"/>
      <c r="K13" s="7"/>
      <c r="L13" s="11" t="str">
        <f>HYPERLINK("http://slimages.macys.com/is/image/MCY/18400109 ")</f>
        <v xml:space="preserve">http://slimages.macys.com/is/image/MCY/18400109 </v>
      </c>
    </row>
    <row r="14" spans="1:12" ht="39.950000000000003" customHeight="1" x14ac:dyDescent="0.25">
      <c r="A14" s="6" t="s">
        <v>1926</v>
      </c>
      <c r="B14" s="7" t="s">
        <v>1927</v>
      </c>
      <c r="C14" s="8">
        <v>1</v>
      </c>
      <c r="D14" s="9">
        <v>104.99</v>
      </c>
      <c r="E14" s="8" t="s">
        <v>1928</v>
      </c>
      <c r="F14" s="7" t="s">
        <v>1458</v>
      </c>
      <c r="G14" s="10"/>
      <c r="H14" s="7" t="s">
        <v>1851</v>
      </c>
      <c r="I14" s="7" t="s">
        <v>1489</v>
      </c>
      <c r="J14" s="7" t="s">
        <v>1461</v>
      </c>
      <c r="K14" s="7" t="s">
        <v>1929</v>
      </c>
      <c r="L14" s="11" t="str">
        <f>HYPERLINK("http://slimages.macys.com/is/image/MCY/8589816 ")</f>
        <v xml:space="preserve">http://slimages.macys.com/is/image/MCY/8589816 </v>
      </c>
    </row>
    <row r="15" spans="1:12" ht="39.950000000000003" customHeight="1" x14ac:dyDescent="0.25">
      <c r="A15" s="6" t="s">
        <v>1930</v>
      </c>
      <c r="B15" s="7" t="s">
        <v>1931</v>
      </c>
      <c r="C15" s="8">
        <v>1</v>
      </c>
      <c r="D15" s="9">
        <v>119.99</v>
      </c>
      <c r="E15" s="8" t="s">
        <v>1932</v>
      </c>
      <c r="F15" s="7" t="s">
        <v>1519</v>
      </c>
      <c r="G15" s="10"/>
      <c r="H15" s="7" t="s">
        <v>1550</v>
      </c>
      <c r="I15" s="7" t="s">
        <v>1617</v>
      </c>
      <c r="J15" s="7"/>
      <c r="K15" s="7"/>
      <c r="L15" s="11" t="str">
        <f>HYPERLINK("http://slimages.macys.com/is/image/MCY/17531037 ")</f>
        <v xml:space="preserve">http://slimages.macys.com/is/image/MCY/17531037 </v>
      </c>
    </row>
    <row r="16" spans="1:12" ht="39.950000000000003" customHeight="1" x14ac:dyDescent="0.25">
      <c r="A16" s="6" t="s">
        <v>1933</v>
      </c>
      <c r="B16" s="7" t="s">
        <v>1934</v>
      </c>
      <c r="C16" s="8">
        <v>1</v>
      </c>
      <c r="D16" s="9">
        <v>69.989999999999995</v>
      </c>
      <c r="E16" s="8" t="s">
        <v>1935</v>
      </c>
      <c r="F16" s="7" t="s">
        <v>1936</v>
      </c>
      <c r="G16" s="10" t="s">
        <v>1937</v>
      </c>
      <c r="H16" s="7" t="s">
        <v>1664</v>
      </c>
      <c r="I16" s="7" t="s">
        <v>1938</v>
      </c>
      <c r="J16" s="7"/>
      <c r="K16" s="7"/>
      <c r="L16" s="11" t="str">
        <f>HYPERLINK("http://slimages.macys.com/is/image/MCY/17569592 ")</f>
        <v xml:space="preserve">http://slimages.macys.com/is/image/MCY/17569592 </v>
      </c>
    </row>
    <row r="17" spans="1:12" ht="39.950000000000003" customHeight="1" x14ac:dyDescent="0.25">
      <c r="A17" s="6" t="s">
        <v>1939</v>
      </c>
      <c r="B17" s="7" t="s">
        <v>1940</v>
      </c>
      <c r="C17" s="8">
        <v>3</v>
      </c>
      <c r="D17" s="9">
        <v>194.97</v>
      </c>
      <c r="E17" s="8">
        <v>100071457</v>
      </c>
      <c r="F17" s="7" t="s">
        <v>1711</v>
      </c>
      <c r="G17" s="10" t="s">
        <v>1941</v>
      </c>
      <c r="H17" s="7" t="s">
        <v>1598</v>
      </c>
      <c r="I17" s="7" t="s">
        <v>1942</v>
      </c>
      <c r="J17" s="7" t="s">
        <v>1461</v>
      </c>
      <c r="K17" s="7"/>
      <c r="L17" s="11" t="str">
        <f>HYPERLINK("http://slimages.macys.com/is/image/MCY/17792861 ")</f>
        <v xml:space="preserve">http://slimages.macys.com/is/image/MCY/17792861 </v>
      </c>
    </row>
    <row r="18" spans="1:12" ht="39.950000000000003" customHeight="1" x14ac:dyDescent="0.25">
      <c r="A18" s="6" t="s">
        <v>1943</v>
      </c>
      <c r="B18" s="7" t="s">
        <v>1944</v>
      </c>
      <c r="C18" s="8">
        <v>1</v>
      </c>
      <c r="D18" s="9">
        <v>79.989999999999995</v>
      </c>
      <c r="E18" s="8" t="s">
        <v>1945</v>
      </c>
      <c r="F18" s="7" t="s">
        <v>1711</v>
      </c>
      <c r="G18" s="10"/>
      <c r="H18" s="7" t="s">
        <v>1467</v>
      </c>
      <c r="I18" s="7" t="s">
        <v>1468</v>
      </c>
      <c r="J18" s="7" t="s">
        <v>1461</v>
      </c>
      <c r="K18" s="7" t="s">
        <v>1946</v>
      </c>
      <c r="L18" s="11" t="str">
        <f>HYPERLINK("http://slimages.macys.com/is/image/MCY/15767052 ")</f>
        <v xml:space="preserve">http://slimages.macys.com/is/image/MCY/15767052 </v>
      </c>
    </row>
    <row r="19" spans="1:12" ht="39.950000000000003" customHeight="1" x14ac:dyDescent="0.25">
      <c r="A19" s="6" t="s">
        <v>1947</v>
      </c>
      <c r="B19" s="7" t="s">
        <v>1948</v>
      </c>
      <c r="C19" s="8">
        <v>1</v>
      </c>
      <c r="D19" s="9">
        <v>55.99</v>
      </c>
      <c r="E19" s="8" t="s">
        <v>1949</v>
      </c>
      <c r="F19" s="7" t="s">
        <v>1877</v>
      </c>
      <c r="G19" s="10"/>
      <c r="H19" s="7" t="s">
        <v>1506</v>
      </c>
      <c r="I19" s="7" t="s">
        <v>1950</v>
      </c>
      <c r="J19" s="7" t="s">
        <v>1461</v>
      </c>
      <c r="K19" s="7" t="s">
        <v>1564</v>
      </c>
      <c r="L19" s="11" t="str">
        <f>HYPERLINK("http://slimages.macys.com/is/image/MCY/10165159 ")</f>
        <v xml:space="preserve">http://slimages.macys.com/is/image/MCY/10165159 </v>
      </c>
    </row>
    <row r="20" spans="1:12" ht="39.950000000000003" customHeight="1" x14ac:dyDescent="0.25">
      <c r="A20" s="6" t="s">
        <v>1951</v>
      </c>
      <c r="B20" s="7" t="s">
        <v>1952</v>
      </c>
      <c r="C20" s="8">
        <v>1</v>
      </c>
      <c r="D20" s="9">
        <v>69.989999999999995</v>
      </c>
      <c r="E20" s="8" t="s">
        <v>1953</v>
      </c>
      <c r="F20" s="7" t="s">
        <v>1458</v>
      </c>
      <c r="G20" s="10" t="s">
        <v>1954</v>
      </c>
      <c r="H20" s="7" t="s">
        <v>1851</v>
      </c>
      <c r="I20" s="7" t="s">
        <v>1955</v>
      </c>
      <c r="J20" s="7" t="s">
        <v>1461</v>
      </c>
      <c r="K20" s="7"/>
      <c r="L20" s="11" t="str">
        <f>HYPERLINK("http://slimages.macys.com/is/image/MCY/12299677 ")</f>
        <v xml:space="preserve">http://slimages.macys.com/is/image/MCY/12299677 </v>
      </c>
    </row>
    <row r="21" spans="1:12" ht="39.950000000000003" customHeight="1" x14ac:dyDescent="0.25">
      <c r="A21" s="6" t="s">
        <v>1956</v>
      </c>
      <c r="B21" s="7" t="s">
        <v>1957</v>
      </c>
      <c r="C21" s="8">
        <v>1</v>
      </c>
      <c r="D21" s="9">
        <v>59.99</v>
      </c>
      <c r="E21" s="8" t="s">
        <v>1958</v>
      </c>
      <c r="F21" s="7" t="s">
        <v>1560</v>
      </c>
      <c r="G21" s="10"/>
      <c r="H21" s="7" t="s">
        <v>1506</v>
      </c>
      <c r="I21" s="7" t="s">
        <v>1959</v>
      </c>
      <c r="J21" s="7"/>
      <c r="K21" s="7"/>
      <c r="L21" s="11" t="str">
        <f>HYPERLINK("http://slimages.macys.com/is/image/MCY/18112092 ")</f>
        <v xml:space="preserve">http://slimages.macys.com/is/image/MCY/18112092 </v>
      </c>
    </row>
    <row r="22" spans="1:12" ht="39.950000000000003" customHeight="1" x14ac:dyDescent="0.25">
      <c r="A22" s="6" t="s">
        <v>1960</v>
      </c>
      <c r="B22" s="7" t="s">
        <v>1961</v>
      </c>
      <c r="C22" s="8">
        <v>1</v>
      </c>
      <c r="D22" s="9">
        <v>29.99</v>
      </c>
      <c r="E22" s="8">
        <v>55771</v>
      </c>
      <c r="F22" s="7" t="s">
        <v>1495</v>
      </c>
      <c r="G22" s="10"/>
      <c r="H22" s="7" t="s">
        <v>1506</v>
      </c>
      <c r="I22" s="7" t="s">
        <v>1583</v>
      </c>
      <c r="J22" s="7" t="s">
        <v>1461</v>
      </c>
      <c r="K22" s="7" t="s">
        <v>1564</v>
      </c>
      <c r="L22" s="11" t="str">
        <f>HYPERLINK("http://slimages.macys.com/is/image/MCY/12879380 ")</f>
        <v xml:space="preserve">http://slimages.macys.com/is/image/MCY/12879380 </v>
      </c>
    </row>
    <row r="23" spans="1:12" ht="39.950000000000003" customHeight="1" x14ac:dyDescent="0.25">
      <c r="A23" s="6" t="s">
        <v>1962</v>
      </c>
      <c r="B23" s="7" t="s">
        <v>1963</v>
      </c>
      <c r="C23" s="8">
        <v>1</v>
      </c>
      <c r="D23" s="9">
        <v>29.99</v>
      </c>
      <c r="E23" s="8" t="s">
        <v>1964</v>
      </c>
      <c r="F23" s="7" t="s">
        <v>1965</v>
      </c>
      <c r="G23" s="10"/>
      <c r="H23" s="7" t="s">
        <v>1506</v>
      </c>
      <c r="I23" s="7" t="s">
        <v>1966</v>
      </c>
      <c r="J23" s="7"/>
      <c r="K23" s="7"/>
      <c r="L23" s="11" t="str">
        <f>HYPERLINK("http://slimages.macys.com/is/image/MCY/17566505 ")</f>
        <v xml:space="preserve">http://slimages.macys.com/is/image/MCY/17566505 </v>
      </c>
    </row>
    <row r="24" spans="1:12" ht="39.950000000000003" customHeight="1" x14ac:dyDescent="0.25">
      <c r="A24" s="6" t="s">
        <v>1967</v>
      </c>
      <c r="B24" s="7" t="s">
        <v>1968</v>
      </c>
      <c r="C24" s="8">
        <v>1</v>
      </c>
      <c r="D24" s="9">
        <v>36.99</v>
      </c>
      <c r="E24" s="8">
        <v>46748</v>
      </c>
      <c r="F24" s="7" t="s">
        <v>1458</v>
      </c>
      <c r="G24" s="10" t="s">
        <v>1691</v>
      </c>
      <c r="H24" s="7" t="s">
        <v>1692</v>
      </c>
      <c r="I24" s="7" t="s">
        <v>1969</v>
      </c>
      <c r="J24" s="7" t="s">
        <v>1490</v>
      </c>
      <c r="K24" s="7" t="s">
        <v>1623</v>
      </c>
      <c r="L24" s="11" t="str">
        <f>HYPERLINK("http://slimages.macys.com/is/image/MCY/10055901 ")</f>
        <v xml:space="preserve">http://slimages.macys.com/is/image/MCY/10055901 </v>
      </c>
    </row>
    <row r="25" spans="1:12" ht="39.950000000000003" customHeight="1" x14ac:dyDescent="0.25">
      <c r="A25" s="6" t="s">
        <v>1970</v>
      </c>
      <c r="B25" s="7" t="s">
        <v>1971</v>
      </c>
      <c r="C25" s="8">
        <v>1</v>
      </c>
      <c r="D25" s="9">
        <v>39.99</v>
      </c>
      <c r="E25" s="8" t="s">
        <v>1972</v>
      </c>
      <c r="F25" s="7" t="s">
        <v>1711</v>
      </c>
      <c r="G25" s="10" t="s">
        <v>1577</v>
      </c>
      <c r="H25" s="7" t="s">
        <v>1578</v>
      </c>
      <c r="I25" s="7" t="s">
        <v>1579</v>
      </c>
      <c r="J25" s="7" t="s">
        <v>1461</v>
      </c>
      <c r="K25" s="7" t="s">
        <v>1973</v>
      </c>
      <c r="L25" s="11" t="str">
        <f>HYPERLINK("http://slimages.macys.com/is/image/MCY/15098992 ")</f>
        <v xml:space="preserve">http://slimages.macys.com/is/image/MCY/15098992 </v>
      </c>
    </row>
    <row r="26" spans="1:12" ht="39.950000000000003" customHeight="1" x14ac:dyDescent="0.25">
      <c r="A26" s="6" t="s">
        <v>1974</v>
      </c>
      <c r="B26" s="7" t="s">
        <v>1975</v>
      </c>
      <c r="C26" s="8">
        <v>1</v>
      </c>
      <c r="D26" s="9">
        <v>29.99</v>
      </c>
      <c r="E26" s="8" t="s">
        <v>1976</v>
      </c>
      <c r="F26" s="7" t="s">
        <v>1505</v>
      </c>
      <c r="G26" s="10"/>
      <c r="H26" s="7" t="s">
        <v>1764</v>
      </c>
      <c r="I26" s="7" t="s">
        <v>1977</v>
      </c>
      <c r="J26" s="7"/>
      <c r="K26" s="7"/>
      <c r="L26" s="11" t="str">
        <f>HYPERLINK("http://slimages.macys.com/is/image/MCY/17601175 ")</f>
        <v xml:space="preserve">http://slimages.macys.com/is/image/MCY/17601175 </v>
      </c>
    </row>
    <row r="27" spans="1:12" ht="39.950000000000003" customHeight="1" x14ac:dyDescent="0.25">
      <c r="A27" s="6" t="s">
        <v>1978</v>
      </c>
      <c r="B27" s="7" t="s">
        <v>1979</v>
      </c>
      <c r="C27" s="8">
        <v>1</v>
      </c>
      <c r="D27" s="9">
        <v>44.99</v>
      </c>
      <c r="E27" s="8" t="s">
        <v>1980</v>
      </c>
      <c r="F27" s="7" t="s">
        <v>1604</v>
      </c>
      <c r="G27" s="10"/>
      <c r="H27" s="7" t="s">
        <v>1545</v>
      </c>
      <c r="I27" s="7" t="s">
        <v>1546</v>
      </c>
      <c r="J27" s="7"/>
      <c r="K27" s="7"/>
      <c r="L27" s="11" t="str">
        <f>HYPERLINK("http://slimages.macys.com/is/image/MCY/18893499 ")</f>
        <v xml:space="preserve">http://slimages.macys.com/is/image/MCY/18893499 </v>
      </c>
    </row>
    <row r="28" spans="1:12" ht="39.950000000000003" customHeight="1" x14ac:dyDescent="0.25">
      <c r="A28" s="6" t="s">
        <v>1981</v>
      </c>
      <c r="B28" s="7" t="s">
        <v>1982</v>
      </c>
      <c r="C28" s="8">
        <v>1</v>
      </c>
      <c r="D28" s="9">
        <v>29.99</v>
      </c>
      <c r="E28" s="8" t="s">
        <v>1983</v>
      </c>
      <c r="F28" s="7" t="s">
        <v>1495</v>
      </c>
      <c r="G28" s="10" t="s">
        <v>1984</v>
      </c>
      <c r="H28" s="7" t="s">
        <v>1532</v>
      </c>
      <c r="I28" s="7" t="s">
        <v>1533</v>
      </c>
      <c r="J28" s="7" t="s">
        <v>1461</v>
      </c>
      <c r="K28" s="7"/>
      <c r="L28" s="11" t="str">
        <f>HYPERLINK("http://slimages.macys.com/is/image/MCY/9356828 ")</f>
        <v xml:space="preserve">http://slimages.macys.com/is/image/MCY/9356828 </v>
      </c>
    </row>
    <row r="29" spans="1:12" ht="39.950000000000003" customHeight="1" x14ac:dyDescent="0.25">
      <c r="A29" s="6" t="s">
        <v>1985</v>
      </c>
      <c r="B29" s="7" t="s">
        <v>1986</v>
      </c>
      <c r="C29" s="8">
        <v>1</v>
      </c>
      <c r="D29" s="9">
        <v>29.99</v>
      </c>
      <c r="E29" s="8" t="s">
        <v>1983</v>
      </c>
      <c r="F29" s="7" t="s">
        <v>1458</v>
      </c>
      <c r="G29" s="10" t="s">
        <v>1984</v>
      </c>
      <c r="H29" s="7" t="s">
        <v>1532</v>
      </c>
      <c r="I29" s="7" t="s">
        <v>1533</v>
      </c>
      <c r="J29" s="7" t="s">
        <v>1461</v>
      </c>
      <c r="K29" s="7"/>
      <c r="L29" s="11" t="str">
        <f>HYPERLINK("http://slimages.macys.com/is/image/MCY/9356828 ")</f>
        <v xml:space="preserve">http://slimages.macys.com/is/image/MCY/9356828 </v>
      </c>
    </row>
    <row r="30" spans="1:12" ht="39.950000000000003" customHeight="1" x14ac:dyDescent="0.25">
      <c r="A30" s="6" t="s">
        <v>1987</v>
      </c>
      <c r="B30" s="7" t="s">
        <v>1988</v>
      </c>
      <c r="C30" s="8">
        <v>1</v>
      </c>
      <c r="D30" s="9">
        <v>19.989999999999998</v>
      </c>
      <c r="E30" s="8" t="s">
        <v>1989</v>
      </c>
      <c r="F30" s="7" t="s">
        <v>1458</v>
      </c>
      <c r="G30" s="10" t="s">
        <v>1990</v>
      </c>
      <c r="H30" s="7" t="s">
        <v>1532</v>
      </c>
      <c r="I30" s="7" t="s">
        <v>1533</v>
      </c>
      <c r="J30" s="7" t="s">
        <v>1461</v>
      </c>
      <c r="K30" s="7" t="s">
        <v>1618</v>
      </c>
      <c r="L30" s="11" t="str">
        <f>HYPERLINK("http://slimages.macys.com/is/image/MCY/9962009 ")</f>
        <v xml:space="preserve">http://slimages.macys.com/is/image/MCY/9962009 </v>
      </c>
    </row>
    <row r="31" spans="1:12" ht="39.950000000000003" customHeight="1" x14ac:dyDescent="0.25">
      <c r="A31" s="6" t="s">
        <v>1991</v>
      </c>
      <c r="B31" s="7" t="s">
        <v>1992</v>
      </c>
      <c r="C31" s="8">
        <v>1</v>
      </c>
      <c r="D31" s="9">
        <v>19.989999999999998</v>
      </c>
      <c r="E31" s="8" t="s">
        <v>1993</v>
      </c>
      <c r="F31" s="7" t="s">
        <v>1458</v>
      </c>
      <c r="G31" s="10" t="s">
        <v>1994</v>
      </c>
      <c r="H31" s="7" t="s">
        <v>1532</v>
      </c>
      <c r="I31" s="7" t="s">
        <v>1533</v>
      </c>
      <c r="J31" s="7" t="s">
        <v>1461</v>
      </c>
      <c r="K31" s="7" t="s">
        <v>1618</v>
      </c>
      <c r="L31" s="11" t="str">
        <f>HYPERLINK("http://slimages.macys.com/is/image/MCY/9513121 ")</f>
        <v xml:space="preserve">http://slimages.macys.com/is/image/MCY/9513121 </v>
      </c>
    </row>
    <row r="32" spans="1:12" ht="39.950000000000003" customHeight="1" x14ac:dyDescent="0.25">
      <c r="A32" s="6" t="s">
        <v>1995</v>
      </c>
      <c r="B32" s="7" t="s">
        <v>1996</v>
      </c>
      <c r="C32" s="8">
        <v>1</v>
      </c>
      <c r="D32" s="9">
        <v>24.99</v>
      </c>
      <c r="E32" s="8" t="s">
        <v>1997</v>
      </c>
      <c r="F32" s="7" t="s">
        <v>1597</v>
      </c>
      <c r="G32" s="10"/>
      <c r="H32" s="7" t="s">
        <v>1555</v>
      </c>
      <c r="I32" s="7" t="s">
        <v>1857</v>
      </c>
      <c r="J32" s="7"/>
      <c r="K32" s="7"/>
      <c r="L32" s="11" t="str">
        <f>HYPERLINK("http://slimages.macys.com/is/image/MCY/17923602 ")</f>
        <v xml:space="preserve">http://slimages.macys.com/is/image/MCY/17923602 </v>
      </c>
    </row>
    <row r="33" spans="1:12" ht="39.950000000000003" customHeight="1" x14ac:dyDescent="0.25">
      <c r="A33" s="6" t="s">
        <v>1998</v>
      </c>
      <c r="B33" s="7" t="s">
        <v>1999</v>
      </c>
      <c r="C33" s="8">
        <v>1</v>
      </c>
      <c r="D33" s="9">
        <v>19.989999999999998</v>
      </c>
      <c r="E33" s="8">
        <v>57754</v>
      </c>
      <c r="F33" s="7" t="s">
        <v>2000</v>
      </c>
      <c r="G33" s="10" t="s">
        <v>1561</v>
      </c>
      <c r="H33" s="7" t="s">
        <v>1506</v>
      </c>
      <c r="I33" s="7" t="s">
        <v>1583</v>
      </c>
      <c r="J33" s="7"/>
      <c r="K33" s="7"/>
      <c r="L33" s="11" t="str">
        <f>HYPERLINK("http://slimages.macys.com/is/image/MCY/17937356 ")</f>
        <v xml:space="preserve">http://slimages.macys.com/is/image/MCY/17937356 </v>
      </c>
    </row>
    <row r="34" spans="1:12" ht="39.950000000000003" customHeight="1" x14ac:dyDescent="0.25">
      <c r="A34" s="6" t="s">
        <v>2001</v>
      </c>
      <c r="B34" s="7" t="s">
        <v>2002</v>
      </c>
      <c r="C34" s="8">
        <v>4</v>
      </c>
      <c r="D34" s="9">
        <v>79.959999999999994</v>
      </c>
      <c r="E34" s="8">
        <v>56509</v>
      </c>
      <c r="F34" s="7" t="s">
        <v>1458</v>
      </c>
      <c r="G34" s="10"/>
      <c r="H34" s="7" t="s">
        <v>1506</v>
      </c>
      <c r="I34" s="7" t="s">
        <v>1583</v>
      </c>
      <c r="J34" s="7" t="s">
        <v>1461</v>
      </c>
      <c r="K34" s="7" t="s">
        <v>1564</v>
      </c>
      <c r="L34" s="11" t="str">
        <f>HYPERLINK("http://slimages.macys.com/is/image/MCY/16060018 ")</f>
        <v xml:space="preserve">http://slimages.macys.com/is/image/MCY/16060018 </v>
      </c>
    </row>
    <row r="35" spans="1:12" ht="39.950000000000003" customHeight="1" x14ac:dyDescent="0.25">
      <c r="A35" s="6" t="s">
        <v>2003</v>
      </c>
      <c r="B35" s="7" t="s">
        <v>2004</v>
      </c>
      <c r="C35" s="8">
        <v>1</v>
      </c>
      <c r="D35" s="9">
        <v>30.99</v>
      </c>
      <c r="E35" s="8" t="s">
        <v>2005</v>
      </c>
      <c r="F35" s="7" t="s">
        <v>1554</v>
      </c>
      <c r="G35" s="10"/>
      <c r="H35" s="7" t="s">
        <v>1506</v>
      </c>
      <c r="I35" s="7" t="s">
        <v>2006</v>
      </c>
      <c r="J35" s="7" t="s">
        <v>1461</v>
      </c>
      <c r="K35" s="7" t="s">
        <v>1564</v>
      </c>
      <c r="L35" s="11" t="str">
        <f>HYPERLINK("http://slimages.macys.com/is/image/MCY/12712539 ")</f>
        <v xml:space="preserve">http://slimages.macys.com/is/image/MCY/12712539 </v>
      </c>
    </row>
    <row r="36" spans="1:12" ht="39.950000000000003" customHeight="1" x14ac:dyDescent="0.25">
      <c r="A36" s="6" t="s">
        <v>2007</v>
      </c>
      <c r="B36" s="7" t="s">
        <v>2008</v>
      </c>
      <c r="C36" s="8">
        <v>1</v>
      </c>
      <c r="D36" s="9">
        <v>15.99</v>
      </c>
      <c r="E36" s="8" t="s">
        <v>2009</v>
      </c>
      <c r="F36" s="7" t="s">
        <v>2010</v>
      </c>
      <c r="G36" s="10" t="s">
        <v>1561</v>
      </c>
      <c r="H36" s="7" t="s">
        <v>1506</v>
      </c>
      <c r="I36" s="7" t="s">
        <v>2011</v>
      </c>
      <c r="J36" s="7" t="s">
        <v>1461</v>
      </c>
      <c r="K36" s="7" t="s">
        <v>1564</v>
      </c>
      <c r="L36" s="11" t="str">
        <f>HYPERLINK("http://slimages.macys.com/is/image/MCY/3851090 ")</f>
        <v xml:space="preserve">http://slimages.macys.com/is/image/MCY/3851090 </v>
      </c>
    </row>
    <row r="37" spans="1:12" ht="39.950000000000003" customHeight="1" x14ac:dyDescent="0.25">
      <c r="A37" s="6" t="s">
        <v>2012</v>
      </c>
      <c r="B37" s="7" t="s">
        <v>2013</v>
      </c>
      <c r="C37" s="8">
        <v>1</v>
      </c>
      <c r="D37" s="9">
        <v>16.989999999999998</v>
      </c>
      <c r="E37" s="8" t="s">
        <v>2014</v>
      </c>
      <c r="F37" s="7" t="s">
        <v>1458</v>
      </c>
      <c r="G37" s="10" t="s">
        <v>1577</v>
      </c>
      <c r="H37" s="7" t="s">
        <v>1578</v>
      </c>
      <c r="I37" s="7" t="s">
        <v>1579</v>
      </c>
      <c r="J37" s="7" t="s">
        <v>1461</v>
      </c>
      <c r="K37" s="7" t="s">
        <v>1623</v>
      </c>
      <c r="L37" s="11" t="str">
        <f>HYPERLINK("http://slimages.macys.com/is/image/MCY/12737864 ")</f>
        <v xml:space="preserve">http://slimages.macys.com/is/image/MCY/12737864 </v>
      </c>
    </row>
    <row r="38" spans="1:12" ht="39.950000000000003" customHeight="1" x14ac:dyDescent="0.25">
      <c r="A38" s="6" t="s">
        <v>2015</v>
      </c>
      <c r="B38" s="7" t="s">
        <v>2016</v>
      </c>
      <c r="C38" s="8">
        <v>1</v>
      </c>
      <c r="D38" s="9">
        <v>16.989999999999998</v>
      </c>
      <c r="E38" s="8">
        <v>1006769400</v>
      </c>
      <c r="F38" s="7" t="s">
        <v>1458</v>
      </c>
      <c r="G38" s="10" t="s">
        <v>1577</v>
      </c>
      <c r="H38" s="7" t="s">
        <v>1578</v>
      </c>
      <c r="I38" s="7" t="s">
        <v>2017</v>
      </c>
      <c r="J38" s="7" t="s">
        <v>1461</v>
      </c>
      <c r="K38" s="7" t="s">
        <v>2018</v>
      </c>
      <c r="L38" s="11" t="str">
        <f>HYPERLINK("http://slimages.macys.com/is/image/MCY/13985028 ")</f>
        <v xml:space="preserve">http://slimages.macys.com/is/image/MCY/13985028 </v>
      </c>
    </row>
    <row r="39" spans="1:12" ht="39.950000000000003" customHeight="1" x14ac:dyDescent="0.25">
      <c r="A39" s="6" t="s">
        <v>2019</v>
      </c>
      <c r="B39" s="7" t="s">
        <v>2020</v>
      </c>
      <c r="C39" s="8">
        <v>1</v>
      </c>
      <c r="D39" s="9">
        <v>29.99</v>
      </c>
      <c r="E39" s="8" t="s">
        <v>2021</v>
      </c>
      <c r="F39" s="7" t="s">
        <v>1458</v>
      </c>
      <c r="G39" s="10"/>
      <c r="H39" s="7" t="s">
        <v>1532</v>
      </c>
      <c r="I39" s="7" t="s">
        <v>1533</v>
      </c>
      <c r="J39" s="7" t="s">
        <v>1461</v>
      </c>
      <c r="K39" s="7" t="s">
        <v>1618</v>
      </c>
      <c r="L39" s="11" t="str">
        <f>HYPERLINK("http://slimages.macys.com/is/image/MCY/9356962 ")</f>
        <v xml:space="preserve">http://slimages.macys.com/is/image/MCY/9356962 </v>
      </c>
    </row>
    <row r="40" spans="1:12" ht="39.950000000000003" customHeight="1" x14ac:dyDescent="0.25">
      <c r="A40" s="6" t="s">
        <v>2022</v>
      </c>
      <c r="B40" s="7" t="s">
        <v>2023</v>
      </c>
      <c r="C40" s="8">
        <v>1</v>
      </c>
      <c r="D40" s="9">
        <v>13.99</v>
      </c>
      <c r="E40" s="8" t="s">
        <v>2024</v>
      </c>
      <c r="F40" s="7" t="s">
        <v>1785</v>
      </c>
      <c r="G40" s="10" t="s">
        <v>1644</v>
      </c>
      <c r="H40" s="7" t="s">
        <v>1578</v>
      </c>
      <c r="I40" s="7" t="s">
        <v>1579</v>
      </c>
      <c r="J40" s="7" t="s">
        <v>1461</v>
      </c>
      <c r="K40" s="7" t="s">
        <v>1623</v>
      </c>
      <c r="L40" s="11" t="str">
        <f>HYPERLINK("http://slimages.macys.com/is/image/MCY/3272675 ")</f>
        <v xml:space="preserve">http://slimages.macys.com/is/image/MCY/3272675 </v>
      </c>
    </row>
    <row r="41" spans="1:12" ht="39.950000000000003" customHeight="1" x14ac:dyDescent="0.25">
      <c r="A41" s="6" t="s">
        <v>2025</v>
      </c>
      <c r="B41" s="7" t="s">
        <v>2026</v>
      </c>
      <c r="C41" s="8">
        <v>1</v>
      </c>
      <c r="D41" s="9">
        <v>7.99</v>
      </c>
      <c r="E41" s="8" t="s">
        <v>2027</v>
      </c>
      <c r="F41" s="7" t="s">
        <v>1785</v>
      </c>
      <c r="G41" s="10" t="s">
        <v>1648</v>
      </c>
      <c r="H41" s="7" t="s">
        <v>1578</v>
      </c>
      <c r="I41" s="7" t="s">
        <v>1579</v>
      </c>
      <c r="J41" s="7" t="s">
        <v>1461</v>
      </c>
      <c r="K41" s="7" t="s">
        <v>1623</v>
      </c>
      <c r="L41" s="11" t="str">
        <f>HYPERLINK("http://slimages.macys.com/is/image/MCY/12737732 ")</f>
        <v xml:space="preserve">http://slimages.macys.com/is/image/MCY/12737732 </v>
      </c>
    </row>
    <row r="42" spans="1:12" ht="39.950000000000003" customHeight="1" x14ac:dyDescent="0.25">
      <c r="A42" s="6" t="s">
        <v>1649</v>
      </c>
      <c r="B42" s="7" t="s">
        <v>1650</v>
      </c>
      <c r="C42" s="8">
        <v>9</v>
      </c>
      <c r="D42" s="9">
        <v>360</v>
      </c>
      <c r="E42" s="8"/>
      <c r="F42" s="7" t="s">
        <v>1651</v>
      </c>
      <c r="G42" s="10" t="s">
        <v>1561</v>
      </c>
      <c r="H42" s="7" t="s">
        <v>1652</v>
      </c>
      <c r="I42" s="7" t="s">
        <v>1653</v>
      </c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  <row r="57" spans="1:12" ht="39.950000000000003" customHeight="1" x14ac:dyDescent="0.25">
      <c r="A57" s="6"/>
      <c r="B57" s="7"/>
      <c r="C57" s="8"/>
      <c r="D57" s="9"/>
      <c r="E57" s="8"/>
      <c r="F57" s="7"/>
      <c r="G57" s="10"/>
      <c r="H57" s="7"/>
      <c r="I57" s="7"/>
      <c r="J57" s="7"/>
      <c r="K57" s="7"/>
      <c r="L57" s="11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2028</v>
      </c>
      <c r="B2" s="7" t="s">
        <v>2029</v>
      </c>
      <c r="C2" s="8">
        <v>1</v>
      </c>
      <c r="D2" s="9">
        <v>269.99</v>
      </c>
      <c r="E2" s="8" t="s">
        <v>2030</v>
      </c>
      <c r="F2" s="7" t="s">
        <v>1627</v>
      </c>
      <c r="G2" s="10"/>
      <c r="H2" s="7" t="s">
        <v>1764</v>
      </c>
      <c r="I2" s="7" t="s">
        <v>1884</v>
      </c>
      <c r="J2" s="7"/>
      <c r="K2" s="7"/>
      <c r="L2" s="11" t="str">
        <f>HYPERLINK("http://slimages.macys.com/is/image/MCY/18302255 ")</f>
        <v xml:space="preserve">http://slimages.macys.com/is/image/MCY/18302255 </v>
      </c>
    </row>
    <row r="3" spans="1:12" ht="39.950000000000003" customHeight="1" x14ac:dyDescent="0.25">
      <c r="A3" s="6" t="s">
        <v>2031</v>
      </c>
      <c r="B3" s="7" t="s">
        <v>2032</v>
      </c>
      <c r="C3" s="8">
        <v>1</v>
      </c>
      <c r="D3" s="9">
        <v>299.99</v>
      </c>
      <c r="E3" s="8" t="s">
        <v>2033</v>
      </c>
      <c r="F3" s="7" t="s">
        <v>1544</v>
      </c>
      <c r="G3" s="10"/>
      <c r="H3" s="7" t="s">
        <v>1764</v>
      </c>
      <c r="I3" s="7" t="s">
        <v>1884</v>
      </c>
      <c r="J3" s="7"/>
      <c r="K3" s="7"/>
      <c r="L3" s="11" t="str">
        <f>HYPERLINK("http://slimages.macys.com/is/image/MCY/18651610 ")</f>
        <v xml:space="preserve">http://slimages.macys.com/is/image/MCY/18651610 </v>
      </c>
    </row>
    <row r="4" spans="1:12" ht="39.950000000000003" customHeight="1" x14ac:dyDescent="0.25">
      <c r="A4" s="6" t="s">
        <v>1888</v>
      </c>
      <c r="B4" s="7" t="s">
        <v>1889</v>
      </c>
      <c r="C4" s="8">
        <v>1</v>
      </c>
      <c r="D4" s="9">
        <v>299.99</v>
      </c>
      <c r="E4" s="8" t="s">
        <v>1890</v>
      </c>
      <c r="F4" s="7" t="s">
        <v>1544</v>
      </c>
      <c r="G4" s="10"/>
      <c r="H4" s="7" t="s">
        <v>1467</v>
      </c>
      <c r="I4" s="7" t="s">
        <v>1468</v>
      </c>
      <c r="J4" s="7" t="s">
        <v>1461</v>
      </c>
      <c r="K4" s="7"/>
      <c r="L4" s="11" t="str">
        <f>HYPERLINK("http://slimages.macys.com/is/image/MCY/10467368 ")</f>
        <v xml:space="preserve">http://slimages.macys.com/is/image/MCY/10467368 </v>
      </c>
    </row>
    <row r="5" spans="1:12" ht="39.950000000000003" customHeight="1" x14ac:dyDescent="0.25">
      <c r="A5" s="6" t="s">
        <v>2034</v>
      </c>
      <c r="B5" s="7" t="s">
        <v>2035</v>
      </c>
      <c r="C5" s="8">
        <v>1</v>
      </c>
      <c r="D5" s="9">
        <v>289.99</v>
      </c>
      <c r="E5" s="8" t="s">
        <v>2036</v>
      </c>
      <c r="F5" s="7" t="s">
        <v>1477</v>
      </c>
      <c r="G5" s="10" t="s">
        <v>1466</v>
      </c>
      <c r="H5" s="7" t="s">
        <v>1467</v>
      </c>
      <c r="I5" s="7" t="s">
        <v>1468</v>
      </c>
      <c r="J5" s="7" t="s">
        <v>1461</v>
      </c>
      <c r="K5" s="7"/>
      <c r="L5" s="11" t="str">
        <f>HYPERLINK("http://slimages.macys.com/is/image/MCY/13891271 ")</f>
        <v xml:space="preserve">http://slimages.macys.com/is/image/MCY/13891271 </v>
      </c>
    </row>
    <row r="6" spans="1:12" ht="39.950000000000003" customHeight="1" x14ac:dyDescent="0.25">
      <c r="A6" s="6" t="s">
        <v>2037</v>
      </c>
      <c r="B6" s="7" t="s">
        <v>2038</v>
      </c>
      <c r="C6" s="8">
        <v>1</v>
      </c>
      <c r="D6" s="9">
        <v>149.99</v>
      </c>
      <c r="E6" s="8" t="s">
        <v>2039</v>
      </c>
      <c r="F6" s="7" t="s">
        <v>2040</v>
      </c>
      <c r="G6" s="10"/>
      <c r="H6" s="7" t="s">
        <v>1496</v>
      </c>
      <c r="I6" s="7" t="s">
        <v>1526</v>
      </c>
      <c r="J6" s="7" t="s">
        <v>1461</v>
      </c>
      <c r="K6" s="7" t="s">
        <v>1913</v>
      </c>
      <c r="L6" s="11" t="str">
        <f>HYPERLINK("http://slimages.macys.com/is/image/MCY/14883564 ")</f>
        <v xml:space="preserve">http://slimages.macys.com/is/image/MCY/14883564 </v>
      </c>
    </row>
    <row r="7" spans="1:12" ht="39.950000000000003" customHeight="1" x14ac:dyDescent="0.25">
      <c r="A7" s="6" t="s">
        <v>2041</v>
      </c>
      <c r="B7" s="7" t="s">
        <v>2042</v>
      </c>
      <c r="C7" s="8">
        <v>1</v>
      </c>
      <c r="D7" s="9">
        <v>99.99</v>
      </c>
      <c r="E7" s="8" t="s">
        <v>2043</v>
      </c>
      <c r="F7" s="7" t="s">
        <v>2044</v>
      </c>
      <c r="G7" s="10"/>
      <c r="H7" s="7" t="s">
        <v>1496</v>
      </c>
      <c r="I7" s="7" t="s">
        <v>1526</v>
      </c>
      <c r="J7" s="7" t="s">
        <v>1461</v>
      </c>
      <c r="K7" s="7" t="s">
        <v>1618</v>
      </c>
      <c r="L7" s="11" t="str">
        <f>HYPERLINK("http://slimages.macys.com/is/image/MCY/8433239 ")</f>
        <v xml:space="preserve">http://slimages.macys.com/is/image/MCY/8433239 </v>
      </c>
    </row>
    <row r="8" spans="1:12" ht="39.950000000000003" customHeight="1" x14ac:dyDescent="0.25">
      <c r="A8" s="6" t="s">
        <v>2045</v>
      </c>
      <c r="B8" s="7" t="s">
        <v>2046</v>
      </c>
      <c r="C8" s="8">
        <v>1</v>
      </c>
      <c r="D8" s="9">
        <v>119.99</v>
      </c>
      <c r="E8" s="8" t="s">
        <v>2047</v>
      </c>
      <c r="F8" s="7" t="s">
        <v>2048</v>
      </c>
      <c r="G8" s="10"/>
      <c r="H8" s="7" t="s">
        <v>1550</v>
      </c>
      <c r="I8" s="7" t="s">
        <v>1617</v>
      </c>
      <c r="J8" s="7"/>
      <c r="K8" s="7"/>
      <c r="L8" s="11" t="str">
        <f>HYPERLINK("http://slimages.macys.com/is/image/MCY/17451484 ")</f>
        <v xml:space="preserve">http://slimages.macys.com/is/image/MCY/17451484 </v>
      </c>
    </row>
    <row r="9" spans="1:12" ht="39.950000000000003" customHeight="1" x14ac:dyDescent="0.25">
      <c r="A9" s="6" t="s">
        <v>2049</v>
      </c>
      <c r="B9" s="7" t="s">
        <v>2050</v>
      </c>
      <c r="C9" s="8">
        <v>1</v>
      </c>
      <c r="D9" s="9">
        <v>66.989999999999995</v>
      </c>
      <c r="E9" s="8" t="s">
        <v>2051</v>
      </c>
      <c r="F9" s="7" t="s">
        <v>2052</v>
      </c>
      <c r="G9" s="10"/>
      <c r="H9" s="7" t="s">
        <v>1506</v>
      </c>
      <c r="I9" s="7" t="s">
        <v>1521</v>
      </c>
      <c r="J9" s="7" t="s">
        <v>1461</v>
      </c>
      <c r="K9" s="7" t="s">
        <v>1564</v>
      </c>
      <c r="L9" s="11" t="str">
        <f>HYPERLINK("http://slimages.macys.com/is/image/MCY/9534096 ")</f>
        <v xml:space="preserve">http://slimages.macys.com/is/image/MCY/9534096 </v>
      </c>
    </row>
    <row r="10" spans="1:12" ht="39.950000000000003" customHeight="1" x14ac:dyDescent="0.25">
      <c r="A10" s="6" t="s">
        <v>2053</v>
      </c>
      <c r="B10" s="7" t="s">
        <v>2054</v>
      </c>
      <c r="C10" s="8">
        <v>1</v>
      </c>
      <c r="D10" s="9">
        <v>57.99</v>
      </c>
      <c r="E10" s="8" t="s">
        <v>2055</v>
      </c>
      <c r="F10" s="7" t="s">
        <v>1458</v>
      </c>
      <c r="G10" s="10"/>
      <c r="H10" s="7" t="s">
        <v>1664</v>
      </c>
      <c r="I10" s="7" t="s">
        <v>1822</v>
      </c>
      <c r="J10" s="7" t="s">
        <v>1461</v>
      </c>
      <c r="K10" s="7" t="s">
        <v>1564</v>
      </c>
      <c r="L10" s="11" t="str">
        <f>HYPERLINK("http://slimages.macys.com/is/image/MCY/10290998 ")</f>
        <v xml:space="preserve">http://slimages.macys.com/is/image/MCY/10290998 </v>
      </c>
    </row>
    <row r="11" spans="1:12" ht="39.950000000000003" customHeight="1" x14ac:dyDescent="0.25">
      <c r="A11" s="6" t="s">
        <v>2056</v>
      </c>
      <c r="B11" s="7" t="s">
        <v>2057</v>
      </c>
      <c r="C11" s="8">
        <v>1</v>
      </c>
      <c r="D11" s="9">
        <v>49.99</v>
      </c>
      <c r="E11" s="8" t="s">
        <v>2058</v>
      </c>
      <c r="F11" s="7" t="s">
        <v>1560</v>
      </c>
      <c r="G11" s="10"/>
      <c r="H11" s="7" t="s">
        <v>1664</v>
      </c>
      <c r="I11" s="7" t="s">
        <v>1556</v>
      </c>
      <c r="J11" s="7" t="s">
        <v>1461</v>
      </c>
      <c r="K11" s="7" t="s">
        <v>1564</v>
      </c>
      <c r="L11" s="11" t="str">
        <f>HYPERLINK("http://slimages.macys.com/is/image/MCY/8347198 ")</f>
        <v xml:space="preserve">http://slimages.macys.com/is/image/MCY/8347198 </v>
      </c>
    </row>
    <row r="12" spans="1:12" ht="39.950000000000003" customHeight="1" x14ac:dyDescent="0.25">
      <c r="A12" s="6" t="s">
        <v>2059</v>
      </c>
      <c r="B12" s="7" t="s">
        <v>2060</v>
      </c>
      <c r="C12" s="8">
        <v>1</v>
      </c>
      <c r="D12" s="9">
        <v>7.99</v>
      </c>
      <c r="E12" s="8" t="s">
        <v>2061</v>
      </c>
      <c r="F12" s="7" t="s">
        <v>1627</v>
      </c>
      <c r="G12" s="10" t="s">
        <v>1577</v>
      </c>
      <c r="H12" s="7" t="s">
        <v>1628</v>
      </c>
      <c r="I12" s="7" t="s">
        <v>2062</v>
      </c>
      <c r="J12" s="7"/>
      <c r="K12" s="7"/>
      <c r="L12" s="11" t="str">
        <f>HYPERLINK("http://slimages.macys.com/is/image/MCY/16783429 ")</f>
        <v xml:space="preserve">http://slimages.macys.com/is/image/MCY/16783429 </v>
      </c>
    </row>
    <row r="13" spans="1:12" ht="39.950000000000003" customHeight="1" x14ac:dyDescent="0.25">
      <c r="A13" s="6" t="s">
        <v>1649</v>
      </c>
      <c r="B13" s="7" t="s">
        <v>1650</v>
      </c>
      <c r="C13" s="8">
        <v>18</v>
      </c>
      <c r="D13" s="9">
        <v>720</v>
      </c>
      <c r="E13" s="8"/>
      <c r="F13" s="7" t="s">
        <v>1651</v>
      </c>
      <c r="G13" s="10" t="s">
        <v>1561</v>
      </c>
      <c r="H13" s="7" t="s">
        <v>1652</v>
      </c>
      <c r="I13" s="7" t="s">
        <v>1653</v>
      </c>
      <c r="J13" s="7"/>
      <c r="K13" s="7"/>
      <c r="L13" s="11"/>
    </row>
    <row r="14" spans="1:12" ht="39.950000000000003" customHeight="1" x14ac:dyDescent="0.25">
      <c r="A14" s="6"/>
      <c r="B14" s="7"/>
      <c r="C14" s="8"/>
      <c r="D14" s="9"/>
      <c r="E14" s="8"/>
      <c r="F14" s="7"/>
      <c r="G14" s="10"/>
      <c r="H14" s="7"/>
      <c r="I14" s="7"/>
      <c r="J14" s="7"/>
      <c r="K14" s="7"/>
      <c r="L14" s="11"/>
    </row>
    <row r="15" spans="1:12" ht="39.950000000000003" customHeight="1" x14ac:dyDescent="0.25">
      <c r="A15" s="6"/>
      <c r="B15" s="7"/>
      <c r="C15" s="8"/>
      <c r="D15" s="9"/>
      <c r="E15" s="8"/>
      <c r="F15" s="7"/>
      <c r="G15" s="10"/>
      <c r="H15" s="7"/>
      <c r="I15" s="7"/>
      <c r="J15" s="7"/>
      <c r="K15" s="7"/>
      <c r="L15" s="11"/>
    </row>
    <row r="16" spans="1:12" ht="39.950000000000003" customHeight="1" x14ac:dyDescent="0.25">
      <c r="A16" s="6"/>
      <c r="B16" s="7"/>
      <c r="C16" s="8"/>
      <c r="D16" s="9"/>
      <c r="E16" s="8"/>
      <c r="F16" s="7"/>
      <c r="G16" s="10"/>
      <c r="H16" s="7"/>
      <c r="I16" s="7"/>
      <c r="J16" s="7"/>
      <c r="K16" s="7"/>
      <c r="L16" s="11"/>
    </row>
    <row r="17" spans="1:12" ht="39.950000000000003" customHeight="1" x14ac:dyDescent="0.25">
      <c r="A17" s="6"/>
      <c r="B17" s="7"/>
      <c r="C17" s="8"/>
      <c r="D17" s="9"/>
      <c r="E17" s="8"/>
      <c r="F17" s="7"/>
      <c r="G17" s="10"/>
      <c r="H17" s="7"/>
      <c r="I17" s="7"/>
      <c r="J17" s="7"/>
      <c r="K17" s="7"/>
      <c r="L17" s="11"/>
    </row>
    <row r="18" spans="1:12" ht="39.950000000000003" customHeight="1" x14ac:dyDescent="0.25">
      <c r="A18" s="6"/>
      <c r="B18" s="7"/>
      <c r="C18" s="8"/>
      <c r="D18" s="9"/>
      <c r="E18" s="8"/>
      <c r="F18" s="7"/>
      <c r="G18" s="10"/>
      <c r="H18" s="7"/>
      <c r="I18" s="7"/>
      <c r="J18" s="7"/>
      <c r="K18" s="7"/>
      <c r="L18" s="11"/>
    </row>
    <row r="19" spans="1:12" ht="39.950000000000003" customHeight="1" x14ac:dyDescent="0.25">
      <c r="A19" s="6"/>
      <c r="B19" s="7"/>
      <c r="C19" s="8"/>
      <c r="D19" s="9"/>
      <c r="E19" s="8"/>
      <c r="F19" s="7"/>
      <c r="G19" s="10"/>
      <c r="H19" s="7"/>
      <c r="I19" s="7"/>
      <c r="J19" s="7"/>
      <c r="K19" s="7"/>
      <c r="L19" s="11"/>
    </row>
    <row r="20" spans="1:12" ht="39.950000000000003" customHeight="1" x14ac:dyDescent="0.25">
      <c r="A20" s="6"/>
      <c r="B20" s="7"/>
      <c r="C20" s="8"/>
      <c r="D20" s="9"/>
      <c r="E20" s="8"/>
      <c r="F20" s="7"/>
      <c r="G20" s="10"/>
      <c r="H20" s="7"/>
      <c r="I20" s="7"/>
      <c r="J20" s="7"/>
      <c r="K20" s="7"/>
      <c r="L20" s="11"/>
    </row>
    <row r="21" spans="1:12" ht="39.950000000000003" customHeight="1" x14ac:dyDescent="0.25">
      <c r="A21" s="6"/>
      <c r="B21" s="7"/>
      <c r="C21" s="8"/>
      <c r="D21" s="9"/>
      <c r="E21" s="8"/>
      <c r="F21" s="7"/>
      <c r="G21" s="10"/>
      <c r="H21" s="7"/>
      <c r="I21" s="7"/>
      <c r="J21" s="7"/>
      <c r="K21" s="7"/>
      <c r="L21" s="11"/>
    </row>
    <row r="22" spans="1:12" ht="39.950000000000003" customHeight="1" x14ac:dyDescent="0.25">
      <c r="A22" s="6"/>
      <c r="B22" s="7"/>
      <c r="C22" s="8"/>
      <c r="D22" s="9"/>
      <c r="E22" s="8"/>
      <c r="F22" s="7"/>
      <c r="G22" s="10"/>
      <c r="H22" s="7"/>
      <c r="I22" s="7"/>
      <c r="J22" s="7"/>
      <c r="K22" s="7"/>
      <c r="L22" s="11"/>
    </row>
    <row r="23" spans="1:12" ht="39.950000000000003" customHeight="1" x14ac:dyDescent="0.25">
      <c r="A23" s="6"/>
      <c r="B23" s="7"/>
      <c r="C23" s="8"/>
      <c r="D23" s="9"/>
      <c r="E23" s="8"/>
      <c r="F23" s="7"/>
      <c r="G23" s="10"/>
      <c r="H23" s="7"/>
      <c r="I23" s="7"/>
      <c r="J23" s="7"/>
      <c r="K23" s="7"/>
      <c r="L23" s="11"/>
    </row>
    <row r="24" spans="1:12" ht="39.950000000000003" customHeight="1" x14ac:dyDescent="0.25">
      <c r="A24" s="6"/>
      <c r="B24" s="7"/>
      <c r="C24" s="8"/>
      <c r="D24" s="9"/>
      <c r="E24" s="8"/>
      <c r="F24" s="7"/>
      <c r="G24" s="10"/>
      <c r="H24" s="7"/>
      <c r="I24" s="7"/>
      <c r="J24" s="7"/>
      <c r="K24" s="7"/>
      <c r="L24" s="11"/>
    </row>
    <row r="25" spans="1:12" ht="39.950000000000003" customHeight="1" x14ac:dyDescent="0.25">
      <c r="A25" s="6"/>
      <c r="B25" s="7"/>
      <c r="C25" s="8"/>
      <c r="D25" s="9"/>
      <c r="E25" s="8"/>
      <c r="F25" s="7"/>
      <c r="G25" s="10"/>
      <c r="H25" s="7"/>
      <c r="I25" s="7"/>
      <c r="J25" s="7"/>
      <c r="K25" s="7"/>
      <c r="L25" s="11"/>
    </row>
    <row r="26" spans="1:12" ht="39.950000000000003" customHeight="1" x14ac:dyDescent="0.25">
      <c r="A26" s="6"/>
      <c r="B26" s="7"/>
      <c r="C26" s="8"/>
      <c r="D26" s="9"/>
      <c r="E26" s="8"/>
      <c r="F26" s="7"/>
      <c r="G26" s="10"/>
      <c r="H26" s="7"/>
      <c r="I26" s="7"/>
      <c r="J26" s="7"/>
      <c r="K26" s="7"/>
      <c r="L26" s="11"/>
    </row>
    <row r="27" spans="1:12" ht="39.950000000000003" customHeight="1" x14ac:dyDescent="0.25">
      <c r="A27" s="6"/>
      <c r="B27" s="7"/>
      <c r="C27" s="8"/>
      <c r="D27" s="9"/>
      <c r="E27" s="8"/>
      <c r="F27" s="7"/>
      <c r="G27" s="10"/>
      <c r="H27" s="7"/>
      <c r="I27" s="7"/>
      <c r="J27" s="7"/>
      <c r="K27" s="7"/>
      <c r="L27" s="11"/>
    </row>
    <row r="28" spans="1:12" ht="39.950000000000003" customHeight="1" x14ac:dyDescent="0.25">
      <c r="A28" s="6"/>
      <c r="B28" s="7"/>
      <c r="C28" s="8"/>
      <c r="D28" s="9"/>
      <c r="E28" s="8"/>
      <c r="F28" s="7"/>
      <c r="G28" s="10"/>
      <c r="H28" s="7"/>
      <c r="I28" s="7"/>
      <c r="J28" s="7"/>
      <c r="K28" s="7"/>
      <c r="L28" s="11"/>
    </row>
    <row r="29" spans="1:12" ht="39.950000000000003" customHeight="1" x14ac:dyDescent="0.25">
      <c r="A29" s="6"/>
      <c r="B29" s="7"/>
      <c r="C29" s="8"/>
      <c r="D29" s="9"/>
      <c r="E29" s="8"/>
      <c r="F29" s="7"/>
      <c r="G29" s="10"/>
      <c r="H29" s="7"/>
      <c r="I29" s="7"/>
      <c r="J29" s="7"/>
      <c r="K29" s="7"/>
      <c r="L29" s="11"/>
    </row>
    <row r="30" spans="1:12" ht="39.950000000000003" customHeight="1" x14ac:dyDescent="0.25">
      <c r="A30" s="6"/>
      <c r="B30" s="7"/>
      <c r="C30" s="8"/>
      <c r="D30" s="9"/>
      <c r="E30" s="8"/>
      <c r="F30" s="7"/>
      <c r="G30" s="10"/>
      <c r="H30" s="7"/>
      <c r="I30" s="7"/>
      <c r="J30" s="7"/>
      <c r="K30" s="7"/>
      <c r="L30" s="11"/>
    </row>
    <row r="31" spans="1:12" ht="39.950000000000003" customHeight="1" x14ac:dyDescent="0.25">
      <c r="A31" s="6"/>
      <c r="B31" s="7"/>
      <c r="C31" s="8"/>
      <c r="D31" s="9"/>
      <c r="E31" s="8"/>
      <c r="F31" s="7"/>
      <c r="G31" s="10"/>
      <c r="H31" s="7"/>
      <c r="I31" s="7"/>
      <c r="J31" s="7"/>
      <c r="K31" s="7"/>
      <c r="L31" s="11"/>
    </row>
    <row r="32" spans="1:12" ht="39.950000000000003" customHeight="1" x14ac:dyDescent="0.25">
      <c r="A32" s="6"/>
      <c r="B32" s="7"/>
      <c r="C32" s="8"/>
      <c r="D32" s="9"/>
      <c r="E32" s="8"/>
      <c r="F32" s="7"/>
      <c r="G32" s="10"/>
      <c r="H32" s="7"/>
      <c r="I32" s="7"/>
      <c r="J32" s="7"/>
      <c r="K32" s="7"/>
      <c r="L32" s="11"/>
    </row>
    <row r="33" spans="1:12" ht="39.950000000000003" customHeight="1" x14ac:dyDescent="0.25">
      <c r="A33" s="6"/>
      <c r="B33" s="7"/>
      <c r="C33" s="8"/>
      <c r="D33" s="9"/>
      <c r="E33" s="8"/>
      <c r="F33" s="7"/>
      <c r="G33" s="10"/>
      <c r="H33" s="7"/>
      <c r="I33" s="7"/>
      <c r="J33" s="7"/>
      <c r="K33" s="7"/>
      <c r="L33" s="11"/>
    </row>
    <row r="34" spans="1:12" ht="39.950000000000003" customHeight="1" x14ac:dyDescent="0.25">
      <c r="A34" s="6"/>
      <c r="B34" s="7"/>
      <c r="C34" s="8"/>
      <c r="D34" s="9"/>
      <c r="E34" s="8"/>
      <c r="F34" s="7"/>
      <c r="G34" s="10"/>
      <c r="H34" s="7"/>
      <c r="I34" s="7"/>
      <c r="J34" s="7"/>
      <c r="K34" s="7"/>
      <c r="L34" s="11"/>
    </row>
    <row r="35" spans="1:12" ht="39.950000000000003" customHeight="1" x14ac:dyDescent="0.25">
      <c r="A35" s="6"/>
      <c r="B35" s="7"/>
      <c r="C35" s="8"/>
      <c r="D35" s="9"/>
      <c r="E35" s="8"/>
      <c r="F35" s="7"/>
      <c r="G35" s="10"/>
      <c r="H35" s="7"/>
      <c r="I35" s="7"/>
      <c r="J35" s="7"/>
      <c r="K35" s="7"/>
      <c r="L35" s="11"/>
    </row>
    <row r="36" spans="1:12" ht="39.950000000000003" customHeight="1" x14ac:dyDescent="0.25">
      <c r="A36" s="6"/>
      <c r="B36" s="7"/>
      <c r="C36" s="8"/>
      <c r="D36" s="9"/>
      <c r="E36" s="8"/>
      <c r="F36" s="7"/>
      <c r="G36" s="10"/>
      <c r="H36" s="7"/>
      <c r="I36" s="7"/>
      <c r="J36" s="7"/>
      <c r="K36" s="7"/>
      <c r="L36" s="11"/>
    </row>
    <row r="37" spans="1:12" ht="39.950000000000003" customHeight="1" x14ac:dyDescent="0.25">
      <c r="A37" s="6"/>
      <c r="B37" s="7"/>
      <c r="C37" s="8"/>
      <c r="D37" s="9"/>
      <c r="E37" s="8"/>
      <c r="F37" s="7"/>
      <c r="G37" s="10"/>
      <c r="H37" s="7"/>
      <c r="I37" s="7"/>
      <c r="J37" s="7"/>
      <c r="K37" s="7"/>
      <c r="L37" s="11"/>
    </row>
    <row r="38" spans="1:12" ht="39.950000000000003" customHeight="1" x14ac:dyDescent="0.25">
      <c r="A38" s="6"/>
      <c r="B38" s="7"/>
      <c r="C38" s="8"/>
      <c r="D38" s="9"/>
      <c r="E38" s="8"/>
      <c r="F38" s="7"/>
      <c r="G38" s="10"/>
      <c r="H38" s="7"/>
      <c r="I38" s="7"/>
      <c r="J38" s="7"/>
      <c r="K38" s="7"/>
      <c r="L38" s="11"/>
    </row>
    <row r="39" spans="1:12" ht="39.950000000000003" customHeight="1" x14ac:dyDescent="0.25">
      <c r="A39" s="6"/>
      <c r="B39" s="7"/>
      <c r="C39" s="8"/>
      <c r="D39" s="9"/>
      <c r="E39" s="8"/>
      <c r="F39" s="7"/>
      <c r="G39" s="10"/>
      <c r="H39" s="7"/>
      <c r="I39" s="7"/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2063</v>
      </c>
      <c r="B2" s="7" t="s">
        <v>2064</v>
      </c>
      <c r="C2" s="8">
        <v>1</v>
      </c>
      <c r="D2" s="9">
        <v>339.99</v>
      </c>
      <c r="E2" s="8" t="s">
        <v>2065</v>
      </c>
      <c r="F2" s="7" t="s">
        <v>1458</v>
      </c>
      <c r="G2" s="10" t="s">
        <v>1466</v>
      </c>
      <c r="H2" s="7" t="s">
        <v>1459</v>
      </c>
      <c r="I2" s="7" t="s">
        <v>1460</v>
      </c>
      <c r="J2" s="7" t="s">
        <v>1461</v>
      </c>
      <c r="K2" s="7" t="s">
        <v>1462</v>
      </c>
      <c r="L2" s="11" t="str">
        <f>HYPERLINK("http://slimages.macys.com/is/image/MCY/3969345 ")</f>
        <v xml:space="preserve">http://slimages.macys.com/is/image/MCY/3969345 </v>
      </c>
    </row>
    <row r="3" spans="1:12" ht="39.950000000000003" customHeight="1" x14ac:dyDescent="0.25">
      <c r="A3" s="6" t="s">
        <v>2066</v>
      </c>
      <c r="B3" s="7" t="s">
        <v>2067</v>
      </c>
      <c r="C3" s="8">
        <v>1</v>
      </c>
      <c r="D3" s="9">
        <v>249.99</v>
      </c>
      <c r="E3" s="8" t="s">
        <v>2068</v>
      </c>
      <c r="F3" s="7" t="s">
        <v>1519</v>
      </c>
      <c r="G3" s="10"/>
      <c r="H3" s="7" t="s">
        <v>1483</v>
      </c>
      <c r="I3" s="7" t="s">
        <v>1501</v>
      </c>
      <c r="J3" s="7" t="s">
        <v>1461</v>
      </c>
      <c r="K3" s="7"/>
      <c r="L3" s="11" t="str">
        <f>HYPERLINK("http://slimages.macys.com/is/image/MCY/8847175 ")</f>
        <v xml:space="preserve">http://slimages.macys.com/is/image/MCY/8847175 </v>
      </c>
    </row>
    <row r="4" spans="1:12" ht="39.950000000000003" customHeight="1" x14ac:dyDescent="0.25">
      <c r="A4" s="6" t="s">
        <v>2069</v>
      </c>
      <c r="B4" s="7" t="s">
        <v>2070</v>
      </c>
      <c r="C4" s="8">
        <v>1</v>
      </c>
      <c r="D4" s="9">
        <v>249.99</v>
      </c>
      <c r="E4" s="8" t="s">
        <v>2071</v>
      </c>
      <c r="F4" s="7" t="s">
        <v>1868</v>
      </c>
      <c r="G4" s="10"/>
      <c r="H4" s="7" t="s">
        <v>1467</v>
      </c>
      <c r="I4" s="7" t="s">
        <v>1468</v>
      </c>
      <c r="J4" s="7" t="s">
        <v>1461</v>
      </c>
      <c r="K4" s="7" t="s">
        <v>2072</v>
      </c>
      <c r="L4" s="11" t="str">
        <f>HYPERLINK("http://slimages.macys.com/is/image/MCY/13799469 ")</f>
        <v xml:space="preserve">http://slimages.macys.com/is/image/MCY/13799469 </v>
      </c>
    </row>
    <row r="5" spans="1:12" ht="39.950000000000003" customHeight="1" x14ac:dyDescent="0.25">
      <c r="A5" s="6" t="s">
        <v>1486</v>
      </c>
      <c r="B5" s="7" t="s">
        <v>1487</v>
      </c>
      <c r="C5" s="8">
        <v>1</v>
      </c>
      <c r="D5" s="9">
        <v>189.99</v>
      </c>
      <c r="E5" s="8" t="s">
        <v>1488</v>
      </c>
      <c r="F5" s="7" t="s">
        <v>1458</v>
      </c>
      <c r="G5" s="10" t="s">
        <v>1466</v>
      </c>
      <c r="H5" s="7" t="s">
        <v>1459</v>
      </c>
      <c r="I5" s="7" t="s">
        <v>1489</v>
      </c>
      <c r="J5" s="7" t="s">
        <v>1490</v>
      </c>
      <c r="K5" s="7" t="s">
        <v>1491</v>
      </c>
      <c r="L5" s="11" t="str">
        <f>HYPERLINK("http://slimages.macys.com/is/image/MCY/3962569 ")</f>
        <v xml:space="preserve">http://slimages.macys.com/is/image/MCY/3962569 </v>
      </c>
    </row>
    <row r="6" spans="1:12" ht="39.950000000000003" customHeight="1" x14ac:dyDescent="0.25">
      <c r="A6" s="6" t="s">
        <v>2073</v>
      </c>
      <c r="B6" s="7" t="s">
        <v>2074</v>
      </c>
      <c r="C6" s="8">
        <v>0</v>
      </c>
      <c r="D6" s="9">
        <v>0</v>
      </c>
      <c r="E6" s="8" t="s">
        <v>2075</v>
      </c>
      <c r="F6" s="7" t="s">
        <v>1477</v>
      </c>
      <c r="G6" s="10"/>
      <c r="H6" s="7" t="s">
        <v>1467</v>
      </c>
      <c r="I6" s="7" t="s">
        <v>1468</v>
      </c>
      <c r="J6" s="7" t="s">
        <v>1461</v>
      </c>
      <c r="K6" s="7" t="s">
        <v>2076</v>
      </c>
      <c r="L6" s="11" t="str">
        <f>HYPERLINK("http://slimages.macys.com/is/image/MCY/13891271 ")</f>
        <v xml:space="preserve">http://slimages.macys.com/is/image/MCY/13891271 </v>
      </c>
    </row>
    <row r="7" spans="1:12" ht="39.950000000000003" customHeight="1" x14ac:dyDescent="0.25">
      <c r="A7" s="6" t="s">
        <v>2077</v>
      </c>
      <c r="B7" s="7" t="s">
        <v>2078</v>
      </c>
      <c r="C7" s="8">
        <v>1</v>
      </c>
      <c r="D7" s="9">
        <v>149.99</v>
      </c>
      <c r="E7" s="8" t="s">
        <v>2079</v>
      </c>
      <c r="F7" s="7" t="s">
        <v>1651</v>
      </c>
      <c r="G7" s="10"/>
      <c r="H7" s="7" t="s">
        <v>1851</v>
      </c>
      <c r="I7" s="7" t="s">
        <v>2080</v>
      </c>
      <c r="J7" s="7" t="s">
        <v>1600</v>
      </c>
      <c r="K7" s="7" t="s">
        <v>2081</v>
      </c>
      <c r="L7" s="11" t="str">
        <f>HYPERLINK("http://slimages.macys.com/is/image/MCY/9369485 ")</f>
        <v xml:space="preserve">http://slimages.macys.com/is/image/MCY/9369485 </v>
      </c>
    </row>
    <row r="8" spans="1:12" ht="39.950000000000003" customHeight="1" x14ac:dyDescent="0.25">
      <c r="A8" s="6" t="s">
        <v>2082</v>
      </c>
      <c r="B8" s="7" t="s">
        <v>2083</v>
      </c>
      <c r="C8" s="8">
        <v>1</v>
      </c>
      <c r="D8" s="9">
        <v>129.99</v>
      </c>
      <c r="E8" s="8" t="s">
        <v>2084</v>
      </c>
      <c r="F8" s="7" t="s">
        <v>2085</v>
      </c>
      <c r="G8" s="10"/>
      <c r="H8" s="7" t="s">
        <v>1545</v>
      </c>
      <c r="I8" s="7" t="s">
        <v>1546</v>
      </c>
      <c r="J8" s="7"/>
      <c r="K8" s="7"/>
      <c r="L8" s="11" t="str">
        <f>HYPERLINK("http://slimages.macys.com/is/image/MCY/17450443 ")</f>
        <v xml:space="preserve">http://slimages.macys.com/is/image/MCY/17450443 </v>
      </c>
    </row>
    <row r="9" spans="1:12" ht="39.950000000000003" customHeight="1" x14ac:dyDescent="0.25">
      <c r="A9" s="6" t="s">
        <v>2086</v>
      </c>
      <c r="B9" s="7" t="s">
        <v>2087</v>
      </c>
      <c r="C9" s="8">
        <v>1</v>
      </c>
      <c r="D9" s="9">
        <v>99.99</v>
      </c>
      <c r="E9" s="8" t="s">
        <v>2088</v>
      </c>
      <c r="F9" s="7" t="s">
        <v>1549</v>
      </c>
      <c r="G9" s="10"/>
      <c r="H9" s="7" t="s">
        <v>2089</v>
      </c>
      <c r="I9" s="7" t="s">
        <v>2090</v>
      </c>
      <c r="J9" s="7"/>
      <c r="K9" s="7"/>
      <c r="L9" s="11" t="str">
        <f>HYPERLINK("http://slimages.macys.com/is/image/MCY/18422555 ")</f>
        <v xml:space="preserve">http://slimages.macys.com/is/image/MCY/18422555 </v>
      </c>
    </row>
    <row r="10" spans="1:12" ht="39.950000000000003" customHeight="1" x14ac:dyDescent="0.25">
      <c r="A10" s="6" t="s">
        <v>2091</v>
      </c>
      <c r="B10" s="7" t="s">
        <v>1523</v>
      </c>
      <c r="C10" s="8">
        <v>1</v>
      </c>
      <c r="D10" s="9">
        <v>99.99</v>
      </c>
      <c r="E10" s="8" t="s">
        <v>2092</v>
      </c>
      <c r="F10" s="7" t="s">
        <v>1525</v>
      </c>
      <c r="G10" s="10"/>
      <c r="H10" s="7" t="s">
        <v>1496</v>
      </c>
      <c r="I10" s="7" t="s">
        <v>1526</v>
      </c>
      <c r="J10" s="7" t="s">
        <v>1461</v>
      </c>
      <c r="K10" s="7" t="s">
        <v>1568</v>
      </c>
      <c r="L10" s="11" t="str">
        <f>HYPERLINK("http://slimages.macys.com/is/image/MCY/11607139 ")</f>
        <v xml:space="preserve">http://slimages.macys.com/is/image/MCY/11607139 </v>
      </c>
    </row>
    <row r="11" spans="1:12" ht="39.950000000000003" customHeight="1" x14ac:dyDescent="0.25">
      <c r="A11" s="6" t="s">
        <v>2093</v>
      </c>
      <c r="B11" s="7" t="s">
        <v>2094</v>
      </c>
      <c r="C11" s="8">
        <v>1</v>
      </c>
      <c r="D11" s="9">
        <v>69.989999999999995</v>
      </c>
      <c r="E11" s="8" t="s">
        <v>2095</v>
      </c>
      <c r="F11" s="7" t="s">
        <v>1936</v>
      </c>
      <c r="G11" s="10" t="s">
        <v>2096</v>
      </c>
      <c r="H11" s="7" t="s">
        <v>1692</v>
      </c>
      <c r="I11" s="7" t="s">
        <v>1842</v>
      </c>
      <c r="J11" s="7"/>
      <c r="K11" s="7"/>
      <c r="L11" s="11" t="str">
        <f>HYPERLINK("http://slimages.macys.com/is/image/MCY/16911771 ")</f>
        <v xml:space="preserve">http://slimages.macys.com/is/image/MCY/16911771 </v>
      </c>
    </row>
    <row r="12" spans="1:12" ht="39.950000000000003" customHeight="1" x14ac:dyDescent="0.25">
      <c r="A12" s="6" t="s">
        <v>2097</v>
      </c>
      <c r="B12" s="7" t="s">
        <v>2098</v>
      </c>
      <c r="C12" s="8">
        <v>1</v>
      </c>
      <c r="D12" s="9">
        <v>49.99</v>
      </c>
      <c r="E12" s="8" t="s">
        <v>2099</v>
      </c>
      <c r="F12" s="7" t="s">
        <v>1549</v>
      </c>
      <c r="G12" s="10" t="s">
        <v>1561</v>
      </c>
      <c r="H12" s="7" t="s">
        <v>1506</v>
      </c>
      <c r="I12" s="7" t="s">
        <v>2100</v>
      </c>
      <c r="J12" s="7" t="s">
        <v>1461</v>
      </c>
      <c r="K12" s="7" t="s">
        <v>1564</v>
      </c>
      <c r="L12" s="11" t="str">
        <f>HYPERLINK("http://slimages.macys.com/is/image/MCY/10636018 ")</f>
        <v xml:space="preserve">http://slimages.macys.com/is/image/MCY/10636018 </v>
      </c>
    </row>
    <row r="13" spans="1:12" ht="39.950000000000003" customHeight="1" x14ac:dyDescent="0.25">
      <c r="A13" s="6" t="s">
        <v>2101</v>
      </c>
      <c r="B13" s="7" t="s">
        <v>2102</v>
      </c>
      <c r="C13" s="8">
        <v>2</v>
      </c>
      <c r="D13" s="9">
        <v>139.97999999999999</v>
      </c>
      <c r="E13" s="8" t="s">
        <v>2103</v>
      </c>
      <c r="F13" s="7" t="s">
        <v>1711</v>
      </c>
      <c r="G13" s="10" t="s">
        <v>1561</v>
      </c>
      <c r="H13" s="7" t="s">
        <v>1506</v>
      </c>
      <c r="I13" s="7" t="s">
        <v>2104</v>
      </c>
      <c r="J13" s="7" t="s">
        <v>1461</v>
      </c>
      <c r="K13" s="7" t="s">
        <v>1564</v>
      </c>
      <c r="L13" s="11" t="str">
        <f>HYPERLINK("http://slimages.macys.com/is/image/MCY/10287088 ")</f>
        <v xml:space="preserve">http://slimages.macys.com/is/image/MCY/10287088 </v>
      </c>
    </row>
    <row r="14" spans="1:12" ht="39.950000000000003" customHeight="1" x14ac:dyDescent="0.25">
      <c r="A14" s="6" t="s">
        <v>2105</v>
      </c>
      <c r="B14" s="7" t="s">
        <v>2106</v>
      </c>
      <c r="C14" s="8">
        <v>1</v>
      </c>
      <c r="D14" s="9">
        <v>49.99</v>
      </c>
      <c r="E14" s="8" t="s">
        <v>2107</v>
      </c>
      <c r="F14" s="7" t="s">
        <v>1458</v>
      </c>
      <c r="G14" s="10"/>
      <c r="H14" s="7" t="s">
        <v>1664</v>
      </c>
      <c r="I14" s="7" t="s">
        <v>1556</v>
      </c>
      <c r="J14" s="7" t="s">
        <v>1461</v>
      </c>
      <c r="K14" s="7" t="s">
        <v>1716</v>
      </c>
      <c r="L14" s="11" t="str">
        <f>HYPERLINK("http://slimages.macys.com/is/image/MCY/9330026 ")</f>
        <v xml:space="preserve">http://slimages.macys.com/is/image/MCY/9330026 </v>
      </c>
    </row>
    <row r="15" spans="1:12" ht="39.950000000000003" customHeight="1" x14ac:dyDescent="0.25">
      <c r="A15" s="6" t="s">
        <v>1947</v>
      </c>
      <c r="B15" s="7" t="s">
        <v>1948</v>
      </c>
      <c r="C15" s="8">
        <v>1</v>
      </c>
      <c r="D15" s="9">
        <v>55.99</v>
      </c>
      <c r="E15" s="8" t="s">
        <v>1949</v>
      </c>
      <c r="F15" s="7" t="s">
        <v>1877</v>
      </c>
      <c r="G15" s="10"/>
      <c r="H15" s="7" t="s">
        <v>1506</v>
      </c>
      <c r="I15" s="7" t="s">
        <v>1950</v>
      </c>
      <c r="J15" s="7" t="s">
        <v>1461</v>
      </c>
      <c r="K15" s="7" t="s">
        <v>1564</v>
      </c>
      <c r="L15" s="11" t="str">
        <f>HYPERLINK("http://slimages.macys.com/is/image/MCY/10165159 ")</f>
        <v xml:space="preserve">http://slimages.macys.com/is/image/MCY/10165159 </v>
      </c>
    </row>
    <row r="16" spans="1:12" ht="39.950000000000003" customHeight="1" x14ac:dyDescent="0.25">
      <c r="A16" s="6" t="s">
        <v>2108</v>
      </c>
      <c r="B16" s="7" t="s">
        <v>2109</v>
      </c>
      <c r="C16" s="8">
        <v>1</v>
      </c>
      <c r="D16" s="9">
        <v>69.989999999999995</v>
      </c>
      <c r="E16" s="8" t="s">
        <v>2110</v>
      </c>
      <c r="F16" s="7" t="s">
        <v>1458</v>
      </c>
      <c r="G16" s="10"/>
      <c r="H16" s="7" t="s">
        <v>1692</v>
      </c>
      <c r="I16" s="7" t="s">
        <v>2111</v>
      </c>
      <c r="J16" s="7" t="s">
        <v>1490</v>
      </c>
      <c r="K16" s="7" t="s">
        <v>2112</v>
      </c>
      <c r="L16" s="11" t="str">
        <f>HYPERLINK("http://slimages.macys.com/is/image/MCY/12753827 ")</f>
        <v xml:space="preserve">http://slimages.macys.com/is/image/MCY/12753827 </v>
      </c>
    </row>
    <row r="17" spans="1:12" ht="39.950000000000003" customHeight="1" x14ac:dyDescent="0.25">
      <c r="A17" s="6" t="s">
        <v>2113</v>
      </c>
      <c r="B17" s="7" t="s">
        <v>2114</v>
      </c>
      <c r="C17" s="8">
        <v>1</v>
      </c>
      <c r="D17" s="9">
        <v>49.99</v>
      </c>
      <c r="E17" s="8" t="s">
        <v>2115</v>
      </c>
      <c r="F17" s="7"/>
      <c r="G17" s="10"/>
      <c r="H17" s="7" t="s">
        <v>1664</v>
      </c>
      <c r="I17" s="7" t="s">
        <v>1588</v>
      </c>
      <c r="J17" s="7"/>
      <c r="K17" s="7"/>
      <c r="L17" s="11" t="str">
        <f>HYPERLINK("http://slimages.macys.com/is/image/MCY/16826931 ")</f>
        <v xml:space="preserve">http://slimages.macys.com/is/image/MCY/16826931 </v>
      </c>
    </row>
    <row r="18" spans="1:12" ht="39.950000000000003" customHeight="1" x14ac:dyDescent="0.25">
      <c r="A18" s="6" t="s">
        <v>2116</v>
      </c>
      <c r="B18" s="7" t="s">
        <v>2117</v>
      </c>
      <c r="C18" s="8">
        <v>1</v>
      </c>
      <c r="D18" s="9">
        <v>79.989999999999995</v>
      </c>
      <c r="E18" s="8" t="s">
        <v>2118</v>
      </c>
      <c r="F18" s="7" t="s">
        <v>1477</v>
      </c>
      <c r="G18" s="10"/>
      <c r="H18" s="7" t="s">
        <v>1467</v>
      </c>
      <c r="I18" s="7" t="s">
        <v>1751</v>
      </c>
      <c r="J18" s="7" t="s">
        <v>1600</v>
      </c>
      <c r="K18" s="7" t="s">
        <v>2119</v>
      </c>
      <c r="L18" s="11" t="str">
        <f>HYPERLINK("http://slimages.macys.com/is/image/MCY/12354490 ")</f>
        <v xml:space="preserve">http://slimages.macys.com/is/image/MCY/12354490 </v>
      </c>
    </row>
    <row r="19" spans="1:12" ht="39.950000000000003" customHeight="1" x14ac:dyDescent="0.25">
      <c r="A19" s="6" t="s">
        <v>2120</v>
      </c>
      <c r="B19" s="7" t="s">
        <v>2121</v>
      </c>
      <c r="C19" s="8">
        <v>1</v>
      </c>
      <c r="D19" s="9">
        <v>36.99</v>
      </c>
      <c r="E19" s="8">
        <v>46749</v>
      </c>
      <c r="F19" s="7" t="s">
        <v>1458</v>
      </c>
      <c r="G19" s="10" t="s">
        <v>2096</v>
      </c>
      <c r="H19" s="7" t="s">
        <v>1692</v>
      </c>
      <c r="I19" s="7" t="s">
        <v>1969</v>
      </c>
      <c r="J19" s="7" t="s">
        <v>1490</v>
      </c>
      <c r="K19" s="7" t="s">
        <v>1623</v>
      </c>
      <c r="L19" s="11" t="str">
        <f>HYPERLINK("http://slimages.macys.com/is/image/MCY/10055901 ")</f>
        <v xml:space="preserve">http://slimages.macys.com/is/image/MCY/10055901 </v>
      </c>
    </row>
    <row r="20" spans="1:12" ht="39.950000000000003" customHeight="1" x14ac:dyDescent="0.25">
      <c r="A20" s="6" t="s">
        <v>2122</v>
      </c>
      <c r="B20" s="7" t="s">
        <v>2123</v>
      </c>
      <c r="C20" s="8">
        <v>1</v>
      </c>
      <c r="D20" s="9">
        <v>27.99</v>
      </c>
      <c r="E20" s="8" t="s">
        <v>2124</v>
      </c>
      <c r="F20" s="7" t="s">
        <v>1495</v>
      </c>
      <c r="G20" s="10"/>
      <c r="H20" s="7" t="s">
        <v>1555</v>
      </c>
      <c r="I20" s="7" t="s">
        <v>2125</v>
      </c>
      <c r="J20" s="7" t="s">
        <v>1461</v>
      </c>
      <c r="K20" s="7" t="s">
        <v>1618</v>
      </c>
      <c r="L20" s="11" t="str">
        <f>HYPERLINK("http://slimages.macys.com/is/image/MCY/11317884 ")</f>
        <v xml:space="preserve">http://slimages.macys.com/is/image/MCY/11317884 </v>
      </c>
    </row>
    <row r="21" spans="1:12" ht="39.950000000000003" customHeight="1" x14ac:dyDescent="0.25">
      <c r="A21" s="6" t="s">
        <v>2126</v>
      </c>
      <c r="B21" s="7" t="s">
        <v>2127</v>
      </c>
      <c r="C21" s="8">
        <v>1</v>
      </c>
      <c r="D21" s="9">
        <v>39.99</v>
      </c>
      <c r="E21" s="8" t="s">
        <v>2128</v>
      </c>
      <c r="F21" s="7" t="s">
        <v>1458</v>
      </c>
      <c r="G21" s="10"/>
      <c r="H21" s="7" t="s">
        <v>1692</v>
      </c>
      <c r="I21" s="7" t="s">
        <v>2129</v>
      </c>
      <c r="J21" s="7" t="s">
        <v>1461</v>
      </c>
      <c r="K21" s="7" t="s">
        <v>1564</v>
      </c>
      <c r="L21" s="11" t="str">
        <f>HYPERLINK("http://slimages.macys.com/is/image/MCY/3664203 ")</f>
        <v xml:space="preserve">http://slimages.macys.com/is/image/MCY/3664203 </v>
      </c>
    </row>
    <row r="22" spans="1:12" ht="39.950000000000003" customHeight="1" x14ac:dyDescent="0.25">
      <c r="A22" s="6" t="s">
        <v>2130</v>
      </c>
      <c r="B22" s="7" t="s">
        <v>2131</v>
      </c>
      <c r="C22" s="8">
        <v>1</v>
      </c>
      <c r="D22" s="9">
        <v>34.99</v>
      </c>
      <c r="E22" s="8" t="s">
        <v>2132</v>
      </c>
      <c r="F22" s="7" t="s">
        <v>1582</v>
      </c>
      <c r="G22" s="10"/>
      <c r="H22" s="7" t="s">
        <v>1545</v>
      </c>
      <c r="I22" s="7" t="s">
        <v>1546</v>
      </c>
      <c r="J22" s="7" t="s">
        <v>1461</v>
      </c>
      <c r="K22" s="7" t="s">
        <v>2133</v>
      </c>
      <c r="L22" s="11" t="str">
        <f>HYPERLINK("http://slimages.macys.com/is/image/MCY/3384103 ")</f>
        <v xml:space="preserve">http://slimages.macys.com/is/image/MCY/3384103 </v>
      </c>
    </row>
    <row r="23" spans="1:12" ht="39.950000000000003" customHeight="1" x14ac:dyDescent="0.25">
      <c r="A23" s="6" t="s">
        <v>2134</v>
      </c>
      <c r="B23" s="7" t="s">
        <v>2135</v>
      </c>
      <c r="C23" s="8">
        <v>1</v>
      </c>
      <c r="D23" s="9">
        <v>29.99</v>
      </c>
      <c r="E23" s="8" t="s">
        <v>2136</v>
      </c>
      <c r="F23" s="7" t="s">
        <v>1531</v>
      </c>
      <c r="G23" s="10"/>
      <c r="H23" s="7" t="s">
        <v>1506</v>
      </c>
      <c r="I23" s="7" t="s">
        <v>1966</v>
      </c>
      <c r="J23" s="7"/>
      <c r="K23" s="7"/>
      <c r="L23" s="11" t="str">
        <f>HYPERLINK("http://slimages.macys.com/is/image/MCY/18173319 ")</f>
        <v xml:space="preserve">http://slimages.macys.com/is/image/MCY/18173319 </v>
      </c>
    </row>
    <row r="24" spans="1:12" ht="39.950000000000003" customHeight="1" x14ac:dyDescent="0.25">
      <c r="A24" s="6" t="s">
        <v>2137</v>
      </c>
      <c r="B24" s="7" t="s">
        <v>2138</v>
      </c>
      <c r="C24" s="8">
        <v>1</v>
      </c>
      <c r="D24" s="9">
        <v>19.989999999999998</v>
      </c>
      <c r="E24" s="8" t="s">
        <v>2139</v>
      </c>
      <c r="F24" s="7" t="s">
        <v>1560</v>
      </c>
      <c r="G24" s="10" t="s">
        <v>1592</v>
      </c>
      <c r="H24" s="7" t="s">
        <v>1506</v>
      </c>
      <c r="I24" s="7" t="s">
        <v>1521</v>
      </c>
      <c r="J24" s="7" t="s">
        <v>1461</v>
      </c>
      <c r="K24" s="7" t="s">
        <v>2140</v>
      </c>
      <c r="L24" s="11" t="str">
        <f>HYPERLINK("http://slimages.macys.com/is/image/MCY/10015341 ")</f>
        <v xml:space="preserve">http://slimages.macys.com/is/image/MCY/10015341 </v>
      </c>
    </row>
    <row r="25" spans="1:12" ht="39.950000000000003" customHeight="1" x14ac:dyDescent="0.25">
      <c r="A25" s="6" t="s">
        <v>1584</v>
      </c>
      <c r="B25" s="7" t="s">
        <v>1585</v>
      </c>
      <c r="C25" s="8">
        <v>1</v>
      </c>
      <c r="D25" s="9">
        <v>26.99</v>
      </c>
      <c r="E25" s="8" t="s">
        <v>1586</v>
      </c>
      <c r="F25" s="7" t="s">
        <v>1587</v>
      </c>
      <c r="G25" s="10"/>
      <c r="H25" s="7" t="s">
        <v>1555</v>
      </c>
      <c r="I25" s="7" t="s">
        <v>1588</v>
      </c>
      <c r="J25" s="7" t="s">
        <v>1461</v>
      </c>
      <c r="K25" s="7" t="s">
        <v>1564</v>
      </c>
      <c r="L25" s="11" t="str">
        <f>HYPERLINK("http://slimages.macys.com/is/image/MCY/9975011 ")</f>
        <v xml:space="preserve">http://slimages.macys.com/is/image/MCY/9975011 </v>
      </c>
    </row>
    <row r="26" spans="1:12" ht="39.950000000000003" customHeight="1" x14ac:dyDescent="0.25">
      <c r="A26" s="6" t="s">
        <v>2141</v>
      </c>
      <c r="B26" s="7" t="s">
        <v>2142</v>
      </c>
      <c r="C26" s="8">
        <v>1</v>
      </c>
      <c r="D26" s="9">
        <v>29.99</v>
      </c>
      <c r="E26" s="8" t="s">
        <v>2143</v>
      </c>
      <c r="F26" s="7" t="s">
        <v>1458</v>
      </c>
      <c r="G26" s="10" t="s">
        <v>1561</v>
      </c>
      <c r="H26" s="7" t="s">
        <v>1520</v>
      </c>
      <c r="I26" s="7" t="s">
        <v>2144</v>
      </c>
      <c r="J26" s="7" t="s">
        <v>1461</v>
      </c>
      <c r="K26" s="7" t="s">
        <v>1564</v>
      </c>
      <c r="L26" s="11" t="str">
        <f>HYPERLINK("http://slimages.macys.com/is/image/MCY/8589764 ")</f>
        <v xml:space="preserve">http://slimages.macys.com/is/image/MCY/8589764 </v>
      </c>
    </row>
    <row r="27" spans="1:12" ht="39.950000000000003" customHeight="1" x14ac:dyDescent="0.25">
      <c r="A27" s="6" t="s">
        <v>2145</v>
      </c>
      <c r="B27" s="7" t="s">
        <v>2146</v>
      </c>
      <c r="C27" s="8">
        <v>1</v>
      </c>
      <c r="D27" s="9">
        <v>29.99</v>
      </c>
      <c r="E27" s="8" t="s">
        <v>2147</v>
      </c>
      <c r="F27" s="7" t="s">
        <v>1651</v>
      </c>
      <c r="G27" s="10" t="s">
        <v>2096</v>
      </c>
      <c r="H27" s="7" t="s">
        <v>1851</v>
      </c>
      <c r="I27" s="7" t="s">
        <v>2148</v>
      </c>
      <c r="J27" s="7" t="s">
        <v>1490</v>
      </c>
      <c r="K27" s="7"/>
      <c r="L27" s="11" t="str">
        <f>HYPERLINK("http://slimages.macys.com/is/image/MCY/9555735 ")</f>
        <v xml:space="preserve">http://slimages.macys.com/is/image/MCY/9555735 </v>
      </c>
    </row>
    <row r="28" spans="1:12" ht="39.950000000000003" customHeight="1" x14ac:dyDescent="0.25">
      <c r="A28" s="6" t="s">
        <v>2149</v>
      </c>
      <c r="B28" s="7" t="s">
        <v>2150</v>
      </c>
      <c r="C28" s="8">
        <v>1</v>
      </c>
      <c r="D28" s="9">
        <v>29.99</v>
      </c>
      <c r="E28" s="8" t="s">
        <v>2151</v>
      </c>
      <c r="F28" s="7"/>
      <c r="G28" s="10"/>
      <c r="H28" s="7" t="s">
        <v>1664</v>
      </c>
      <c r="I28" s="7" t="s">
        <v>2152</v>
      </c>
      <c r="J28" s="7" t="s">
        <v>1461</v>
      </c>
      <c r="K28" s="7" t="s">
        <v>1564</v>
      </c>
      <c r="L28" s="11" t="str">
        <f>HYPERLINK("http://slimages.macys.com/is/image/MCY/16143263 ")</f>
        <v xml:space="preserve">http://slimages.macys.com/is/image/MCY/16143263 </v>
      </c>
    </row>
    <row r="29" spans="1:12" ht="39.950000000000003" customHeight="1" x14ac:dyDescent="0.25">
      <c r="A29" s="6" t="s">
        <v>2153</v>
      </c>
      <c r="B29" s="7" t="s">
        <v>2154</v>
      </c>
      <c r="C29" s="8">
        <v>1</v>
      </c>
      <c r="D29" s="9">
        <v>19.989999999999998</v>
      </c>
      <c r="E29" s="8" t="s">
        <v>2155</v>
      </c>
      <c r="F29" s="7" t="s">
        <v>1458</v>
      </c>
      <c r="G29" s="10"/>
      <c r="H29" s="7" t="s">
        <v>1555</v>
      </c>
      <c r="I29" s="7" t="s">
        <v>2156</v>
      </c>
      <c r="J29" s="7" t="s">
        <v>1461</v>
      </c>
      <c r="K29" s="7" t="s">
        <v>1564</v>
      </c>
      <c r="L29" s="11" t="str">
        <f>HYPERLINK("http://slimages.macys.com/is/image/MCY/13743272 ")</f>
        <v xml:space="preserve">http://slimages.macys.com/is/image/MCY/13743272 </v>
      </c>
    </row>
    <row r="30" spans="1:12" ht="39.950000000000003" customHeight="1" x14ac:dyDescent="0.25">
      <c r="A30" s="6" t="s">
        <v>2157</v>
      </c>
      <c r="B30" s="7" t="s">
        <v>2158</v>
      </c>
      <c r="C30" s="8">
        <v>1</v>
      </c>
      <c r="D30" s="9">
        <v>18.989999999999998</v>
      </c>
      <c r="E30" s="8" t="s">
        <v>2159</v>
      </c>
      <c r="F30" s="7" t="s">
        <v>2160</v>
      </c>
      <c r="G30" s="10"/>
      <c r="H30" s="7" t="s">
        <v>1555</v>
      </c>
      <c r="I30" s="7" t="s">
        <v>1857</v>
      </c>
      <c r="J30" s="7" t="s">
        <v>1461</v>
      </c>
      <c r="K30" s="7" t="s">
        <v>1564</v>
      </c>
      <c r="L30" s="11" t="str">
        <f>HYPERLINK("http://slimages.macys.com/is/image/MCY/3153811 ")</f>
        <v xml:space="preserve">http://slimages.macys.com/is/image/MCY/3153811 </v>
      </c>
    </row>
    <row r="31" spans="1:12" ht="39.950000000000003" customHeight="1" x14ac:dyDescent="0.25">
      <c r="A31" s="6" t="s">
        <v>2161</v>
      </c>
      <c r="B31" s="7" t="s">
        <v>2162</v>
      </c>
      <c r="C31" s="8">
        <v>1</v>
      </c>
      <c r="D31" s="9">
        <v>18.989999999999998</v>
      </c>
      <c r="E31" s="8">
        <v>16253</v>
      </c>
      <c r="F31" s="7" t="s">
        <v>1458</v>
      </c>
      <c r="G31" s="10"/>
      <c r="H31" s="7" t="s">
        <v>1692</v>
      </c>
      <c r="I31" s="7" t="s">
        <v>1969</v>
      </c>
      <c r="J31" s="7"/>
      <c r="K31" s="7"/>
      <c r="L31" s="11" t="str">
        <f>HYPERLINK("http://slimages.macys.com/is/image/MCY/18042010 ")</f>
        <v xml:space="preserve">http://slimages.macys.com/is/image/MCY/18042010 </v>
      </c>
    </row>
    <row r="32" spans="1:12" ht="39.950000000000003" customHeight="1" x14ac:dyDescent="0.25">
      <c r="A32" s="6" t="s">
        <v>2163</v>
      </c>
      <c r="B32" s="7" t="s">
        <v>2164</v>
      </c>
      <c r="C32" s="8">
        <v>1</v>
      </c>
      <c r="D32" s="9">
        <v>16.989999999999998</v>
      </c>
      <c r="E32" s="8" t="s">
        <v>2165</v>
      </c>
      <c r="F32" s="7" t="s">
        <v>1821</v>
      </c>
      <c r="G32" s="10" t="s">
        <v>1577</v>
      </c>
      <c r="H32" s="7" t="s">
        <v>1578</v>
      </c>
      <c r="I32" s="7" t="s">
        <v>1579</v>
      </c>
      <c r="J32" s="7" t="s">
        <v>1461</v>
      </c>
      <c r="K32" s="7" t="s">
        <v>1623</v>
      </c>
      <c r="L32" s="11" t="str">
        <f>HYPERLINK("http://slimages.macys.com/is/image/MCY/12737864 ")</f>
        <v xml:space="preserve">http://slimages.macys.com/is/image/MCY/12737864 </v>
      </c>
    </row>
    <row r="33" spans="1:12" ht="39.950000000000003" customHeight="1" x14ac:dyDescent="0.25">
      <c r="A33" s="6" t="s">
        <v>2166</v>
      </c>
      <c r="B33" s="7" t="s">
        <v>2167</v>
      </c>
      <c r="C33" s="8">
        <v>1</v>
      </c>
      <c r="D33" s="9">
        <v>16.989999999999998</v>
      </c>
      <c r="E33" s="8" t="s">
        <v>2168</v>
      </c>
      <c r="F33" s="7" t="s">
        <v>1519</v>
      </c>
      <c r="G33" s="10" t="s">
        <v>1577</v>
      </c>
      <c r="H33" s="7" t="s">
        <v>1578</v>
      </c>
      <c r="I33" s="7" t="s">
        <v>1579</v>
      </c>
      <c r="J33" s="7" t="s">
        <v>1461</v>
      </c>
      <c r="K33" s="7" t="s">
        <v>1623</v>
      </c>
      <c r="L33" s="11" t="str">
        <f>HYPERLINK("http://slimages.macys.com/is/image/MCY/12737864 ")</f>
        <v xml:space="preserve">http://slimages.macys.com/is/image/MCY/12737864 </v>
      </c>
    </row>
    <row r="34" spans="1:12" ht="39.950000000000003" customHeight="1" x14ac:dyDescent="0.25">
      <c r="A34" s="6" t="s">
        <v>2169</v>
      </c>
      <c r="B34" s="7" t="s">
        <v>2170</v>
      </c>
      <c r="C34" s="8">
        <v>1</v>
      </c>
      <c r="D34" s="9">
        <v>14.99</v>
      </c>
      <c r="E34" s="8" t="s">
        <v>2171</v>
      </c>
      <c r="F34" s="7"/>
      <c r="G34" s="10"/>
      <c r="H34" s="7" t="s">
        <v>1664</v>
      </c>
      <c r="I34" s="7" t="s">
        <v>2152</v>
      </c>
      <c r="J34" s="7"/>
      <c r="K34" s="7"/>
      <c r="L34" s="11" t="str">
        <f>HYPERLINK("http://slimages.macys.com/is/image/MCY/17145620 ")</f>
        <v xml:space="preserve">http://slimages.macys.com/is/image/MCY/17145620 </v>
      </c>
    </row>
    <row r="35" spans="1:12" ht="39.950000000000003" customHeight="1" x14ac:dyDescent="0.25">
      <c r="A35" s="6" t="s">
        <v>2172</v>
      </c>
      <c r="B35" s="7" t="s">
        <v>2173</v>
      </c>
      <c r="C35" s="8">
        <v>1</v>
      </c>
      <c r="D35" s="9">
        <v>9.99</v>
      </c>
      <c r="E35" s="8">
        <v>25005</v>
      </c>
      <c r="F35" s="7" t="s">
        <v>1604</v>
      </c>
      <c r="G35" s="10"/>
      <c r="H35" s="7" t="s">
        <v>1506</v>
      </c>
      <c r="I35" s="7" t="s">
        <v>1583</v>
      </c>
      <c r="J35" s="7" t="s">
        <v>1461</v>
      </c>
      <c r="K35" s="7" t="s">
        <v>1564</v>
      </c>
      <c r="L35" s="11" t="str">
        <f>HYPERLINK("http://slimages.macys.com/is/image/MCY/10004247 ")</f>
        <v xml:space="preserve">http://slimages.macys.com/is/image/MCY/10004247 </v>
      </c>
    </row>
    <row r="36" spans="1:12" ht="39.950000000000003" customHeight="1" x14ac:dyDescent="0.25">
      <c r="A36" s="6" t="s">
        <v>2174</v>
      </c>
      <c r="B36" s="7" t="s">
        <v>2175</v>
      </c>
      <c r="C36" s="8">
        <v>1</v>
      </c>
      <c r="D36" s="9">
        <v>9.99</v>
      </c>
      <c r="E36" s="8" t="s">
        <v>2176</v>
      </c>
      <c r="F36" s="7" t="s">
        <v>1877</v>
      </c>
      <c r="G36" s="10" t="s">
        <v>2177</v>
      </c>
      <c r="H36" s="7" t="s">
        <v>1628</v>
      </c>
      <c r="I36" s="7" t="s">
        <v>1777</v>
      </c>
      <c r="J36" s="7" t="s">
        <v>1461</v>
      </c>
      <c r="K36" s="7" t="s">
        <v>2178</v>
      </c>
      <c r="L36" s="11" t="str">
        <f>HYPERLINK("http://slimages.macys.com/is/image/MCY/807332 ")</f>
        <v xml:space="preserve">http://slimages.macys.com/is/image/MCY/807332 </v>
      </c>
    </row>
    <row r="37" spans="1:12" ht="39.950000000000003" customHeight="1" x14ac:dyDescent="0.25">
      <c r="A37" s="6" t="s">
        <v>2179</v>
      </c>
      <c r="B37" s="7" t="s">
        <v>2180</v>
      </c>
      <c r="C37" s="8">
        <v>1</v>
      </c>
      <c r="D37" s="9">
        <v>3.99</v>
      </c>
      <c r="E37" s="8" t="s">
        <v>2181</v>
      </c>
      <c r="F37" s="7" t="s">
        <v>1458</v>
      </c>
      <c r="G37" s="10" t="s">
        <v>1577</v>
      </c>
      <c r="H37" s="7" t="s">
        <v>1628</v>
      </c>
      <c r="I37" s="7" t="s">
        <v>1556</v>
      </c>
      <c r="J37" s="7" t="s">
        <v>1461</v>
      </c>
      <c r="K37" s="7"/>
      <c r="L37" s="11" t="str">
        <f>HYPERLINK("http://slimages.macys.com/is/image/MCY/13909845 ")</f>
        <v xml:space="preserve">http://slimages.macys.com/is/image/MCY/13909845 </v>
      </c>
    </row>
    <row r="38" spans="1:12" ht="39.950000000000003" customHeight="1" x14ac:dyDescent="0.25">
      <c r="A38" s="6" t="s">
        <v>1649</v>
      </c>
      <c r="B38" s="7" t="s">
        <v>1650</v>
      </c>
      <c r="C38" s="8">
        <v>24</v>
      </c>
      <c r="D38" s="9">
        <v>960</v>
      </c>
      <c r="E38" s="8"/>
      <c r="F38" s="7" t="s">
        <v>1651</v>
      </c>
      <c r="G38" s="10" t="s">
        <v>1561</v>
      </c>
      <c r="H38" s="7" t="s">
        <v>1652</v>
      </c>
      <c r="I38" s="7" t="s">
        <v>1653</v>
      </c>
      <c r="J38" s="7"/>
      <c r="K38" s="7"/>
      <c r="L38" s="11"/>
    </row>
    <row r="39" spans="1:12" ht="39.950000000000003" customHeight="1" x14ac:dyDescent="0.25">
      <c r="A39" s="6" t="s">
        <v>2182</v>
      </c>
      <c r="B39" s="7" t="s">
        <v>2183</v>
      </c>
      <c r="C39" s="8">
        <v>1</v>
      </c>
      <c r="D39" s="9">
        <v>28</v>
      </c>
      <c r="E39" s="8">
        <v>688614000809</v>
      </c>
      <c r="F39" s="7" t="s">
        <v>1651</v>
      </c>
      <c r="G39" s="10" t="s">
        <v>1561</v>
      </c>
      <c r="H39" s="7" t="s">
        <v>1555</v>
      </c>
      <c r="I39" s="7" t="s">
        <v>2125</v>
      </c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2184</v>
      </c>
      <c r="B2" s="7" t="s">
        <v>2185</v>
      </c>
      <c r="C2" s="8">
        <v>1</v>
      </c>
      <c r="D2" s="9">
        <v>329.99</v>
      </c>
      <c r="E2" s="8" t="s">
        <v>2186</v>
      </c>
      <c r="F2" s="7" t="s">
        <v>2187</v>
      </c>
      <c r="G2" s="10"/>
      <c r="H2" s="7" t="s">
        <v>1764</v>
      </c>
      <c r="I2" s="7" t="s">
        <v>1894</v>
      </c>
      <c r="J2" s="7" t="s">
        <v>1461</v>
      </c>
      <c r="K2" s="7" t="s">
        <v>2188</v>
      </c>
      <c r="L2" s="11" t="str">
        <f>HYPERLINK("http://slimages.macys.com/is/image/MCY/9518022 ")</f>
        <v xml:space="preserve">http://slimages.macys.com/is/image/MCY/9518022 </v>
      </c>
    </row>
    <row r="3" spans="1:12" ht="39.950000000000003" customHeight="1" x14ac:dyDescent="0.25">
      <c r="A3" s="6" t="s">
        <v>2189</v>
      </c>
      <c r="B3" s="7" t="s">
        <v>2190</v>
      </c>
      <c r="C3" s="8">
        <v>1</v>
      </c>
      <c r="D3" s="9">
        <v>169.99</v>
      </c>
      <c r="E3" s="8" t="s">
        <v>2191</v>
      </c>
      <c r="F3" s="7" t="s">
        <v>1560</v>
      </c>
      <c r="G3" s="10"/>
      <c r="H3" s="7" t="s">
        <v>1664</v>
      </c>
      <c r="I3" s="7" t="s">
        <v>1521</v>
      </c>
      <c r="J3" s="7" t="s">
        <v>1461</v>
      </c>
      <c r="K3" s="7" t="s">
        <v>2192</v>
      </c>
      <c r="L3" s="11" t="str">
        <f>HYPERLINK("http://slimages.macys.com/is/image/MCY/9627844 ")</f>
        <v xml:space="preserve">http://slimages.macys.com/is/image/MCY/9627844 </v>
      </c>
    </row>
    <row r="4" spans="1:12" ht="39.950000000000003" customHeight="1" x14ac:dyDescent="0.25">
      <c r="A4" s="6" t="s">
        <v>2193</v>
      </c>
      <c r="B4" s="7" t="s">
        <v>2194</v>
      </c>
      <c r="C4" s="8">
        <v>1</v>
      </c>
      <c r="D4" s="9">
        <v>109.99</v>
      </c>
      <c r="E4" s="8" t="s">
        <v>2195</v>
      </c>
      <c r="F4" s="7" t="s">
        <v>1519</v>
      </c>
      <c r="G4" s="10"/>
      <c r="H4" s="7" t="s">
        <v>1664</v>
      </c>
      <c r="I4" s="7" t="s">
        <v>1521</v>
      </c>
      <c r="J4" s="7" t="s">
        <v>1461</v>
      </c>
      <c r="K4" s="7" t="s">
        <v>2196</v>
      </c>
      <c r="L4" s="11" t="str">
        <f>HYPERLINK("http://slimages.macys.com/is/image/MCY/9566739 ")</f>
        <v xml:space="preserve">http://slimages.macys.com/is/image/MCY/9566739 </v>
      </c>
    </row>
    <row r="5" spans="1:12" ht="39.950000000000003" customHeight="1" x14ac:dyDescent="0.25">
      <c r="A5" s="6" t="s">
        <v>2197</v>
      </c>
      <c r="B5" s="7" t="s">
        <v>2198</v>
      </c>
      <c r="C5" s="8">
        <v>1</v>
      </c>
      <c r="D5" s="9">
        <v>77.989999999999995</v>
      </c>
      <c r="E5" s="8" t="s">
        <v>2199</v>
      </c>
      <c r="F5" s="7" t="s">
        <v>1495</v>
      </c>
      <c r="G5" s="10"/>
      <c r="H5" s="7" t="s">
        <v>1506</v>
      </c>
      <c r="I5" s="7" t="s">
        <v>1521</v>
      </c>
      <c r="J5" s="7" t="s">
        <v>1461</v>
      </c>
      <c r="K5" s="7" t="s">
        <v>2200</v>
      </c>
      <c r="L5" s="11" t="str">
        <f>HYPERLINK("http://slimages.macys.com/is/image/MCY/12291966 ")</f>
        <v xml:space="preserve">http://slimages.macys.com/is/image/MCY/12291966 </v>
      </c>
    </row>
    <row r="6" spans="1:12" ht="39.950000000000003" customHeight="1" x14ac:dyDescent="0.25">
      <c r="A6" s="6" t="s">
        <v>2201</v>
      </c>
      <c r="B6" s="7" t="s">
        <v>2202</v>
      </c>
      <c r="C6" s="8">
        <v>1</v>
      </c>
      <c r="D6" s="9">
        <v>149.99</v>
      </c>
      <c r="E6" s="8" t="s">
        <v>2203</v>
      </c>
      <c r="F6" s="7" t="s">
        <v>2187</v>
      </c>
      <c r="G6" s="10" t="s">
        <v>2204</v>
      </c>
      <c r="H6" s="7" t="s">
        <v>1483</v>
      </c>
      <c r="I6" s="7" t="s">
        <v>1501</v>
      </c>
      <c r="J6" s="7" t="s">
        <v>1461</v>
      </c>
      <c r="K6" s="7"/>
      <c r="L6" s="11" t="str">
        <f>HYPERLINK("http://slimages.macys.com/is/image/MCY/9468110 ")</f>
        <v xml:space="preserve">http://slimages.macys.com/is/image/MCY/9468110 </v>
      </c>
    </row>
    <row r="7" spans="1:12" ht="39.950000000000003" customHeight="1" x14ac:dyDescent="0.25">
      <c r="A7" s="6" t="s">
        <v>2205</v>
      </c>
      <c r="B7" s="7" t="s">
        <v>2206</v>
      </c>
      <c r="C7" s="8">
        <v>2</v>
      </c>
      <c r="D7" s="9">
        <v>126.5</v>
      </c>
      <c r="E7" s="8" t="s">
        <v>2207</v>
      </c>
      <c r="F7" s="7" t="s">
        <v>1597</v>
      </c>
      <c r="G7" s="10"/>
      <c r="H7" s="7" t="s">
        <v>1506</v>
      </c>
      <c r="I7" s="7" t="s">
        <v>2208</v>
      </c>
      <c r="J7" s="7" t="s">
        <v>1461</v>
      </c>
      <c r="K7" s="7" t="s">
        <v>2209</v>
      </c>
      <c r="L7" s="11" t="str">
        <f>HYPERLINK("http://slimages.macys.com/is/image/MCY/10141769 ")</f>
        <v xml:space="preserve">http://slimages.macys.com/is/image/MCY/10141769 </v>
      </c>
    </row>
    <row r="8" spans="1:12" ht="39.950000000000003" customHeight="1" x14ac:dyDescent="0.25">
      <c r="A8" s="6" t="s">
        <v>2210</v>
      </c>
      <c r="B8" s="7" t="s">
        <v>2211</v>
      </c>
      <c r="C8" s="8">
        <v>1</v>
      </c>
      <c r="D8" s="9">
        <v>63.99</v>
      </c>
      <c r="E8" s="8" t="s">
        <v>2212</v>
      </c>
      <c r="F8" s="7" t="s">
        <v>1587</v>
      </c>
      <c r="G8" s="10"/>
      <c r="H8" s="7" t="s">
        <v>1664</v>
      </c>
      <c r="I8" s="7" t="s">
        <v>1521</v>
      </c>
      <c r="J8" s="7" t="s">
        <v>1461</v>
      </c>
      <c r="K8" s="7" t="s">
        <v>2213</v>
      </c>
      <c r="L8" s="11" t="str">
        <f>HYPERLINK("http://slimages.macys.com/is/image/MCY/9767705 ")</f>
        <v xml:space="preserve">http://slimages.macys.com/is/image/MCY/9767705 </v>
      </c>
    </row>
    <row r="9" spans="1:12" ht="39.950000000000003" customHeight="1" x14ac:dyDescent="0.25">
      <c r="A9" s="6" t="s">
        <v>1713</v>
      </c>
      <c r="B9" s="7" t="s">
        <v>1714</v>
      </c>
      <c r="C9" s="8">
        <v>1</v>
      </c>
      <c r="D9" s="9">
        <v>52.99</v>
      </c>
      <c r="E9" s="8" t="s">
        <v>1715</v>
      </c>
      <c r="F9" s="7" t="s">
        <v>1587</v>
      </c>
      <c r="G9" s="10"/>
      <c r="H9" s="7" t="s">
        <v>1664</v>
      </c>
      <c r="I9" s="7" t="s">
        <v>1521</v>
      </c>
      <c r="J9" s="7" t="s">
        <v>1461</v>
      </c>
      <c r="K9" s="7" t="s">
        <v>1716</v>
      </c>
      <c r="L9" s="11" t="str">
        <f>HYPERLINK("http://slimages.macys.com/is/image/MCY/9767705 ")</f>
        <v xml:space="preserve">http://slimages.macys.com/is/image/MCY/9767705 </v>
      </c>
    </row>
    <row r="10" spans="1:12" ht="39.950000000000003" customHeight="1" x14ac:dyDescent="0.25">
      <c r="A10" s="6" t="s">
        <v>2214</v>
      </c>
      <c r="B10" s="7" t="s">
        <v>2215</v>
      </c>
      <c r="C10" s="8">
        <v>1</v>
      </c>
      <c r="D10" s="9">
        <v>79.989999999999995</v>
      </c>
      <c r="E10" s="8" t="s">
        <v>2216</v>
      </c>
      <c r="F10" s="7" t="s">
        <v>1627</v>
      </c>
      <c r="G10" s="10"/>
      <c r="H10" s="7" t="s">
        <v>2217</v>
      </c>
      <c r="I10" s="7" t="s">
        <v>1751</v>
      </c>
      <c r="J10" s="7" t="s">
        <v>1461</v>
      </c>
      <c r="K10" s="7" t="s">
        <v>1527</v>
      </c>
      <c r="L10" s="11" t="str">
        <f>HYPERLINK("http://slimages.macys.com/is/image/MCY/3534387 ")</f>
        <v xml:space="preserve">http://slimages.macys.com/is/image/MCY/3534387 </v>
      </c>
    </row>
    <row r="11" spans="1:12" ht="39.950000000000003" customHeight="1" x14ac:dyDescent="0.25">
      <c r="A11" s="6" t="s">
        <v>2218</v>
      </c>
      <c r="B11" s="7" t="s">
        <v>2219</v>
      </c>
      <c r="C11" s="8">
        <v>1</v>
      </c>
      <c r="D11" s="9">
        <v>39.99</v>
      </c>
      <c r="E11" s="8" t="s">
        <v>2220</v>
      </c>
      <c r="F11" s="7" t="s">
        <v>1560</v>
      </c>
      <c r="G11" s="10"/>
      <c r="H11" s="7" t="s">
        <v>1605</v>
      </c>
      <c r="I11" s="7" t="s">
        <v>1521</v>
      </c>
      <c r="J11" s="7" t="s">
        <v>1461</v>
      </c>
      <c r="K11" s="7" t="s">
        <v>1564</v>
      </c>
      <c r="L11" s="11" t="str">
        <f>HYPERLINK("http://slimages.macys.com/is/image/MCY/10082172 ")</f>
        <v xml:space="preserve">http://slimages.macys.com/is/image/MCY/10082172 </v>
      </c>
    </row>
    <row r="12" spans="1:12" ht="39.950000000000003" customHeight="1" x14ac:dyDescent="0.25">
      <c r="A12" s="6" t="s">
        <v>2221</v>
      </c>
      <c r="B12" s="7" t="s">
        <v>2222</v>
      </c>
      <c r="C12" s="8">
        <v>1</v>
      </c>
      <c r="D12" s="9">
        <v>39.99</v>
      </c>
      <c r="E12" s="8" t="s">
        <v>2223</v>
      </c>
      <c r="F12" s="7" t="s">
        <v>2224</v>
      </c>
      <c r="G12" s="10"/>
      <c r="H12" s="7" t="s">
        <v>1605</v>
      </c>
      <c r="I12" s="7" t="s">
        <v>2225</v>
      </c>
      <c r="J12" s="7"/>
      <c r="K12" s="7"/>
      <c r="L12" s="11" t="str">
        <f>HYPERLINK("http://slimages.macys.com/is/image/MCY/17804058 ")</f>
        <v xml:space="preserve">http://slimages.macys.com/is/image/MCY/17804058 </v>
      </c>
    </row>
    <row r="13" spans="1:12" ht="39.950000000000003" customHeight="1" x14ac:dyDescent="0.25">
      <c r="A13" s="6" t="s">
        <v>2226</v>
      </c>
      <c r="B13" s="7" t="s">
        <v>2227</v>
      </c>
      <c r="C13" s="8">
        <v>1</v>
      </c>
      <c r="D13" s="9">
        <v>39.99</v>
      </c>
      <c r="E13" s="8" t="s">
        <v>2228</v>
      </c>
      <c r="F13" s="7" t="s">
        <v>1505</v>
      </c>
      <c r="G13" s="10"/>
      <c r="H13" s="7" t="s">
        <v>1506</v>
      </c>
      <c r="I13" s="7" t="s">
        <v>1521</v>
      </c>
      <c r="J13" s="7" t="s">
        <v>1461</v>
      </c>
      <c r="K13" s="7" t="s">
        <v>2229</v>
      </c>
      <c r="L13" s="11" t="str">
        <f>HYPERLINK("http://slimages.macys.com/is/image/MCY/8064912 ")</f>
        <v xml:space="preserve">http://slimages.macys.com/is/image/MCY/8064912 </v>
      </c>
    </row>
    <row r="14" spans="1:12" ht="39.950000000000003" customHeight="1" x14ac:dyDescent="0.25">
      <c r="A14" s="6" t="s">
        <v>2230</v>
      </c>
      <c r="B14" s="7" t="s">
        <v>2231</v>
      </c>
      <c r="C14" s="8">
        <v>4</v>
      </c>
      <c r="D14" s="9">
        <v>159.96</v>
      </c>
      <c r="E14" s="8" t="s">
        <v>2232</v>
      </c>
      <c r="F14" s="7" t="s">
        <v>1458</v>
      </c>
      <c r="G14" s="10"/>
      <c r="H14" s="7" t="s">
        <v>1605</v>
      </c>
      <c r="I14" s="7" t="s">
        <v>1822</v>
      </c>
      <c r="J14" s="7"/>
      <c r="K14" s="7"/>
      <c r="L14" s="11" t="str">
        <f>HYPERLINK("http://slimages.macys.com/is/image/MCY/17725003 ")</f>
        <v xml:space="preserve">http://slimages.macys.com/is/image/MCY/17725003 </v>
      </c>
    </row>
    <row r="15" spans="1:12" ht="39.950000000000003" customHeight="1" x14ac:dyDescent="0.25">
      <c r="A15" s="6" t="s">
        <v>2233</v>
      </c>
      <c r="B15" s="7" t="s">
        <v>2234</v>
      </c>
      <c r="C15" s="8">
        <v>1</v>
      </c>
      <c r="D15" s="9">
        <v>35.99</v>
      </c>
      <c r="E15" s="8" t="s">
        <v>2235</v>
      </c>
      <c r="F15" s="7" t="s">
        <v>2085</v>
      </c>
      <c r="G15" s="10"/>
      <c r="H15" s="7" t="s">
        <v>1506</v>
      </c>
      <c r="I15" s="7" t="s">
        <v>2236</v>
      </c>
      <c r="J15" s="7" t="s">
        <v>1461</v>
      </c>
      <c r="K15" s="7" t="s">
        <v>2237</v>
      </c>
      <c r="L15" s="11" t="str">
        <f>HYPERLINK("http://slimages.macys.com/is/image/MCY/2870624 ")</f>
        <v xml:space="preserve">http://slimages.macys.com/is/image/MCY/2870624 </v>
      </c>
    </row>
    <row r="16" spans="1:12" ht="39.950000000000003" customHeight="1" x14ac:dyDescent="0.25">
      <c r="A16" s="6" t="s">
        <v>2238</v>
      </c>
      <c r="B16" s="7" t="s">
        <v>2239</v>
      </c>
      <c r="C16" s="8">
        <v>1</v>
      </c>
      <c r="D16" s="9">
        <v>39.99</v>
      </c>
      <c r="E16" s="8" t="s">
        <v>2240</v>
      </c>
      <c r="F16" s="7"/>
      <c r="G16" s="10" t="s">
        <v>2241</v>
      </c>
      <c r="H16" s="7" t="s">
        <v>1764</v>
      </c>
      <c r="I16" s="7" t="s">
        <v>2242</v>
      </c>
      <c r="J16" s="7" t="s">
        <v>1461</v>
      </c>
      <c r="K16" s="7" t="s">
        <v>1729</v>
      </c>
      <c r="L16" s="11" t="str">
        <f>HYPERLINK("http://slimages.macys.com/is/image/MCY/11012505 ")</f>
        <v xml:space="preserve">http://slimages.macys.com/is/image/MCY/11012505 </v>
      </c>
    </row>
    <row r="17" spans="1:12" ht="39.950000000000003" customHeight="1" x14ac:dyDescent="0.25">
      <c r="A17" s="6" t="s">
        <v>2243</v>
      </c>
      <c r="B17" s="7" t="s">
        <v>2244</v>
      </c>
      <c r="C17" s="8">
        <v>1</v>
      </c>
      <c r="D17" s="9">
        <v>69.989999999999995</v>
      </c>
      <c r="E17" s="8" t="s">
        <v>2245</v>
      </c>
      <c r="F17" s="7" t="s">
        <v>1477</v>
      </c>
      <c r="G17" s="10"/>
      <c r="H17" s="7" t="s">
        <v>1467</v>
      </c>
      <c r="I17" s="7" t="s">
        <v>1468</v>
      </c>
      <c r="J17" s="7" t="s">
        <v>1461</v>
      </c>
      <c r="K17" s="7" t="s">
        <v>2246</v>
      </c>
      <c r="L17" s="11" t="str">
        <f>HYPERLINK("http://slimages.macys.com/is/image/MCY/13966618 ")</f>
        <v xml:space="preserve">http://slimages.macys.com/is/image/MCY/13966618 </v>
      </c>
    </row>
    <row r="18" spans="1:12" ht="39.950000000000003" customHeight="1" x14ac:dyDescent="0.25">
      <c r="A18" s="6" t="s">
        <v>2247</v>
      </c>
      <c r="B18" s="7" t="s">
        <v>2248</v>
      </c>
      <c r="C18" s="8">
        <v>1</v>
      </c>
      <c r="D18" s="9">
        <v>39.99</v>
      </c>
      <c r="E18" s="8" t="s">
        <v>2249</v>
      </c>
      <c r="F18" s="7" t="s">
        <v>1458</v>
      </c>
      <c r="G18" s="10" t="s">
        <v>2204</v>
      </c>
      <c r="H18" s="7" t="s">
        <v>1764</v>
      </c>
      <c r="I18" s="7" t="s">
        <v>1884</v>
      </c>
      <c r="J18" s="7" t="s">
        <v>1461</v>
      </c>
      <c r="K18" s="7" t="s">
        <v>2213</v>
      </c>
      <c r="L18" s="11" t="str">
        <f>HYPERLINK("http://slimages.macys.com/is/image/MCY/2815830 ")</f>
        <v xml:space="preserve">http://slimages.macys.com/is/image/MCY/2815830 </v>
      </c>
    </row>
    <row r="19" spans="1:12" ht="39.950000000000003" customHeight="1" x14ac:dyDescent="0.25">
      <c r="A19" s="6" t="s">
        <v>2250</v>
      </c>
      <c r="B19" s="7" t="s">
        <v>2251</v>
      </c>
      <c r="C19" s="8">
        <v>1</v>
      </c>
      <c r="D19" s="9">
        <v>44.99</v>
      </c>
      <c r="E19" s="8" t="s">
        <v>2252</v>
      </c>
      <c r="F19" s="7" t="s">
        <v>1482</v>
      </c>
      <c r="G19" s="10"/>
      <c r="H19" s="7" t="s">
        <v>1520</v>
      </c>
      <c r="I19" s="7" t="s">
        <v>1521</v>
      </c>
      <c r="J19" s="7" t="s">
        <v>1461</v>
      </c>
      <c r="K19" s="7" t="s">
        <v>1564</v>
      </c>
      <c r="L19" s="11" t="str">
        <f>HYPERLINK("http://slimages.macys.com/is/image/MCY/8830305 ")</f>
        <v xml:space="preserve">http://slimages.macys.com/is/image/MCY/8830305 </v>
      </c>
    </row>
    <row r="20" spans="1:12" ht="39.950000000000003" customHeight="1" x14ac:dyDescent="0.25">
      <c r="A20" s="6" t="s">
        <v>2253</v>
      </c>
      <c r="B20" s="7" t="s">
        <v>2254</v>
      </c>
      <c r="C20" s="8">
        <v>2</v>
      </c>
      <c r="D20" s="9">
        <v>59.98</v>
      </c>
      <c r="E20" s="8" t="s">
        <v>2255</v>
      </c>
      <c r="F20" s="7" t="s">
        <v>1576</v>
      </c>
      <c r="G20" s="10" t="s">
        <v>2256</v>
      </c>
      <c r="H20" s="7" t="s">
        <v>1506</v>
      </c>
      <c r="I20" s="7" t="s">
        <v>1521</v>
      </c>
      <c r="J20" s="7" t="s">
        <v>1461</v>
      </c>
      <c r="K20" s="7" t="s">
        <v>2257</v>
      </c>
      <c r="L20" s="11" t="str">
        <f>HYPERLINK("http://slimages.macys.com/is/image/MCY/9602353 ")</f>
        <v xml:space="preserve">http://slimages.macys.com/is/image/MCY/9602353 </v>
      </c>
    </row>
    <row r="21" spans="1:12" ht="39.950000000000003" customHeight="1" x14ac:dyDescent="0.25">
      <c r="A21" s="6" t="s">
        <v>2258</v>
      </c>
      <c r="B21" s="7" t="s">
        <v>2259</v>
      </c>
      <c r="C21" s="8">
        <v>1</v>
      </c>
      <c r="D21" s="9">
        <v>39.99</v>
      </c>
      <c r="E21" s="8" t="s">
        <v>2260</v>
      </c>
      <c r="F21" s="7" t="s">
        <v>1458</v>
      </c>
      <c r="G21" s="10"/>
      <c r="H21" s="7" t="s">
        <v>1532</v>
      </c>
      <c r="I21" s="7" t="s">
        <v>2261</v>
      </c>
      <c r="J21" s="7" t="s">
        <v>1461</v>
      </c>
      <c r="K21" s="7" t="s">
        <v>1527</v>
      </c>
      <c r="L21" s="11" t="str">
        <f>HYPERLINK("http://slimages.macys.com/is/image/MCY/2620611 ")</f>
        <v xml:space="preserve">http://slimages.macys.com/is/image/MCY/2620611 </v>
      </c>
    </row>
    <row r="22" spans="1:12" ht="39.950000000000003" customHeight="1" x14ac:dyDescent="0.25">
      <c r="A22" s="6" t="s">
        <v>2262</v>
      </c>
      <c r="B22" s="7" t="s">
        <v>2263</v>
      </c>
      <c r="C22" s="8">
        <v>1</v>
      </c>
      <c r="D22" s="9">
        <v>23.99</v>
      </c>
      <c r="E22" s="8" t="s">
        <v>2264</v>
      </c>
      <c r="F22" s="7" t="s">
        <v>1762</v>
      </c>
      <c r="G22" s="10"/>
      <c r="H22" s="7" t="s">
        <v>1506</v>
      </c>
      <c r="I22" s="7" t="s">
        <v>1966</v>
      </c>
      <c r="J22" s="7"/>
      <c r="K22" s="7"/>
      <c r="L22" s="11" t="str">
        <f>HYPERLINK("http://slimages.macys.com/is/image/MCY/17566490 ")</f>
        <v xml:space="preserve">http://slimages.macys.com/is/image/MCY/17566490 </v>
      </c>
    </row>
    <row r="23" spans="1:12" ht="39.950000000000003" customHeight="1" x14ac:dyDescent="0.25">
      <c r="A23" s="6" t="s">
        <v>2265</v>
      </c>
      <c r="B23" s="7" t="s">
        <v>2266</v>
      </c>
      <c r="C23" s="8">
        <v>1</v>
      </c>
      <c r="D23" s="9">
        <v>39.99</v>
      </c>
      <c r="E23" s="8">
        <v>10004047600</v>
      </c>
      <c r="F23" s="7" t="s">
        <v>1560</v>
      </c>
      <c r="G23" s="10" t="s">
        <v>2241</v>
      </c>
      <c r="H23" s="7" t="s">
        <v>1550</v>
      </c>
      <c r="I23" s="7" t="s">
        <v>1617</v>
      </c>
      <c r="J23" s="7" t="s">
        <v>1600</v>
      </c>
      <c r="K23" s="7"/>
      <c r="L23" s="11" t="str">
        <f>HYPERLINK("http://slimages.macys.com/is/image/MCY/11390187 ")</f>
        <v xml:space="preserve">http://slimages.macys.com/is/image/MCY/11390187 </v>
      </c>
    </row>
    <row r="24" spans="1:12" ht="39.950000000000003" customHeight="1" x14ac:dyDescent="0.25">
      <c r="A24" s="6" t="s">
        <v>2267</v>
      </c>
      <c r="B24" s="7" t="s">
        <v>2268</v>
      </c>
      <c r="C24" s="8">
        <v>1</v>
      </c>
      <c r="D24" s="9">
        <v>31.99</v>
      </c>
      <c r="E24" s="8">
        <v>12499</v>
      </c>
      <c r="F24" s="7" t="s">
        <v>1505</v>
      </c>
      <c r="G24" s="10" t="s">
        <v>2241</v>
      </c>
      <c r="H24" s="7" t="s">
        <v>1506</v>
      </c>
      <c r="I24" s="7" t="s">
        <v>2269</v>
      </c>
      <c r="J24" s="7" t="s">
        <v>1461</v>
      </c>
      <c r="K24" s="7" t="s">
        <v>1564</v>
      </c>
      <c r="L24" s="11" t="str">
        <f>HYPERLINK("http://slimages.macys.com/is/image/MCY/11837438 ")</f>
        <v xml:space="preserve">http://slimages.macys.com/is/image/MCY/11837438 </v>
      </c>
    </row>
    <row r="25" spans="1:12" ht="39.950000000000003" customHeight="1" x14ac:dyDescent="0.25">
      <c r="A25" s="6" t="s">
        <v>2270</v>
      </c>
      <c r="B25" s="7" t="s">
        <v>2271</v>
      </c>
      <c r="C25" s="8">
        <v>1</v>
      </c>
      <c r="D25" s="9">
        <v>19.989999999999998</v>
      </c>
      <c r="E25" s="8" t="s">
        <v>2272</v>
      </c>
      <c r="F25" s="7" t="s">
        <v>1651</v>
      </c>
      <c r="G25" s="10" t="s">
        <v>1561</v>
      </c>
      <c r="H25" s="7" t="s">
        <v>1605</v>
      </c>
      <c r="I25" s="7" t="s">
        <v>1839</v>
      </c>
      <c r="J25" s="7"/>
      <c r="K25" s="7"/>
      <c r="L25" s="11" t="str">
        <f>HYPERLINK("http://slimages.macys.com/is/image/MCY/17719600 ")</f>
        <v xml:space="preserve">http://slimages.macys.com/is/image/MCY/17719600 </v>
      </c>
    </row>
    <row r="26" spans="1:12" ht="39.950000000000003" customHeight="1" x14ac:dyDescent="0.25">
      <c r="A26" s="6" t="s">
        <v>2273</v>
      </c>
      <c r="B26" s="7" t="s">
        <v>2274</v>
      </c>
      <c r="C26" s="8">
        <v>1</v>
      </c>
      <c r="D26" s="9">
        <v>19.989999999999998</v>
      </c>
      <c r="E26" s="8" t="s">
        <v>2275</v>
      </c>
      <c r="F26" s="7" t="s">
        <v>2224</v>
      </c>
      <c r="G26" s="10"/>
      <c r="H26" s="7" t="s">
        <v>1506</v>
      </c>
      <c r="I26" s="7" t="s">
        <v>2276</v>
      </c>
      <c r="J26" s="7"/>
      <c r="K26" s="7"/>
      <c r="L26" s="11" t="str">
        <f>HYPERLINK("http://slimages.macys.com/is/image/MCY/17620642 ")</f>
        <v xml:space="preserve">http://slimages.macys.com/is/image/MCY/17620642 </v>
      </c>
    </row>
    <row r="27" spans="1:12" ht="39.950000000000003" customHeight="1" x14ac:dyDescent="0.25">
      <c r="A27" s="6" t="s">
        <v>2277</v>
      </c>
      <c r="B27" s="7" t="s">
        <v>2278</v>
      </c>
      <c r="C27" s="8">
        <v>1</v>
      </c>
      <c r="D27" s="9">
        <v>10.99</v>
      </c>
      <c r="E27" s="8" t="s">
        <v>2279</v>
      </c>
      <c r="F27" s="7" t="s">
        <v>1458</v>
      </c>
      <c r="G27" s="10"/>
      <c r="H27" s="7" t="s">
        <v>1506</v>
      </c>
      <c r="I27" s="7" t="s">
        <v>2236</v>
      </c>
      <c r="J27" s="7" t="s">
        <v>1461</v>
      </c>
      <c r="K27" s="7" t="s">
        <v>2280</v>
      </c>
      <c r="L27" s="11" t="str">
        <f>HYPERLINK("http://slimages.macys.com/is/image/MCY/2870589 ")</f>
        <v xml:space="preserve">http://slimages.macys.com/is/image/MCY/2870589 </v>
      </c>
    </row>
    <row r="28" spans="1:12" ht="39.950000000000003" customHeight="1" x14ac:dyDescent="0.25">
      <c r="A28" s="6" t="s">
        <v>2281</v>
      </c>
      <c r="B28" s="7" t="s">
        <v>2282</v>
      </c>
      <c r="C28" s="8">
        <v>1</v>
      </c>
      <c r="D28" s="9">
        <v>29.99</v>
      </c>
      <c r="E28" s="8" t="s">
        <v>2283</v>
      </c>
      <c r="F28" s="7" t="s">
        <v>1544</v>
      </c>
      <c r="G28" s="10"/>
      <c r="H28" s="7" t="s">
        <v>1545</v>
      </c>
      <c r="I28" s="7" t="s">
        <v>1546</v>
      </c>
      <c r="J28" s="7" t="s">
        <v>1461</v>
      </c>
      <c r="K28" s="7" t="s">
        <v>2284</v>
      </c>
      <c r="L28" s="11" t="str">
        <f>HYPERLINK("http://slimages.macys.com/is/image/MCY/14607258 ")</f>
        <v xml:space="preserve">http://slimages.macys.com/is/image/MCY/14607258 </v>
      </c>
    </row>
    <row r="29" spans="1:12" ht="39.950000000000003" customHeight="1" x14ac:dyDescent="0.25">
      <c r="A29" s="6" t="s">
        <v>2285</v>
      </c>
      <c r="B29" s="7" t="s">
        <v>2286</v>
      </c>
      <c r="C29" s="8">
        <v>2</v>
      </c>
      <c r="D29" s="9">
        <v>29.98</v>
      </c>
      <c r="E29" s="8" t="s">
        <v>2287</v>
      </c>
      <c r="F29" s="7" t="s">
        <v>1651</v>
      </c>
      <c r="G29" s="10" t="s">
        <v>1561</v>
      </c>
      <c r="H29" s="7" t="s">
        <v>1605</v>
      </c>
      <c r="I29" s="7" t="s">
        <v>1839</v>
      </c>
      <c r="J29" s="7"/>
      <c r="K29" s="7"/>
      <c r="L29" s="11" t="str">
        <f>HYPERLINK("http://slimages.macys.com/is/image/MCY/17719639 ")</f>
        <v xml:space="preserve">http://slimages.macys.com/is/image/MCY/17719639 </v>
      </c>
    </row>
    <row r="30" spans="1:12" ht="39.950000000000003" customHeight="1" x14ac:dyDescent="0.25">
      <c r="A30" s="6" t="s">
        <v>2288</v>
      </c>
      <c r="B30" s="7" t="s">
        <v>2286</v>
      </c>
      <c r="C30" s="8">
        <v>1</v>
      </c>
      <c r="D30" s="9">
        <v>14.99</v>
      </c>
      <c r="E30" s="8" t="s">
        <v>2289</v>
      </c>
      <c r="F30" s="7" t="s">
        <v>1651</v>
      </c>
      <c r="G30" s="10" t="s">
        <v>1561</v>
      </c>
      <c r="H30" s="7" t="s">
        <v>1605</v>
      </c>
      <c r="I30" s="7" t="s">
        <v>1839</v>
      </c>
      <c r="J30" s="7"/>
      <c r="K30" s="7"/>
      <c r="L30" s="11" t="str">
        <f>HYPERLINK("http://slimages.macys.com/is/image/MCY/17719645 ")</f>
        <v xml:space="preserve">http://slimages.macys.com/is/image/MCY/17719645 </v>
      </c>
    </row>
    <row r="31" spans="1:12" ht="39.950000000000003" customHeight="1" x14ac:dyDescent="0.25">
      <c r="A31" s="6" t="s">
        <v>2290</v>
      </c>
      <c r="B31" s="7" t="s">
        <v>2291</v>
      </c>
      <c r="C31" s="8">
        <v>9</v>
      </c>
      <c r="D31" s="9">
        <v>134.91</v>
      </c>
      <c r="E31" s="8" t="s">
        <v>2292</v>
      </c>
      <c r="F31" s="7" t="s">
        <v>1505</v>
      </c>
      <c r="G31" s="10" t="s">
        <v>2241</v>
      </c>
      <c r="H31" s="7" t="s">
        <v>1506</v>
      </c>
      <c r="I31" s="7" t="s">
        <v>2276</v>
      </c>
      <c r="J31" s="7"/>
      <c r="K31" s="7"/>
      <c r="L31" s="11" t="str">
        <f>HYPERLINK("http://slimages.macys.com/is/image/MCY/17620637 ")</f>
        <v xml:space="preserve">http://slimages.macys.com/is/image/MCY/17620637 </v>
      </c>
    </row>
    <row r="32" spans="1:12" ht="39.950000000000003" customHeight="1" x14ac:dyDescent="0.25">
      <c r="A32" s="6" t="s">
        <v>2293</v>
      </c>
      <c r="B32" s="7" t="s">
        <v>2294</v>
      </c>
      <c r="C32" s="8">
        <v>1</v>
      </c>
      <c r="D32" s="9">
        <v>29.99</v>
      </c>
      <c r="E32" s="8" t="s">
        <v>2295</v>
      </c>
      <c r="F32" s="7" t="s">
        <v>1560</v>
      </c>
      <c r="G32" s="10"/>
      <c r="H32" s="7" t="s">
        <v>1545</v>
      </c>
      <c r="I32" s="7" t="s">
        <v>1546</v>
      </c>
      <c r="J32" s="7" t="s">
        <v>1461</v>
      </c>
      <c r="K32" s="7"/>
      <c r="L32" s="11" t="str">
        <f>HYPERLINK("http://slimages.macys.com/is/image/MCY/15912144 ")</f>
        <v xml:space="preserve">http://slimages.macys.com/is/image/MCY/15912144 </v>
      </c>
    </row>
    <row r="33" spans="1:12" ht="39.950000000000003" customHeight="1" x14ac:dyDescent="0.25">
      <c r="A33" s="6" t="s">
        <v>2296</v>
      </c>
      <c r="B33" s="7" t="s">
        <v>2297</v>
      </c>
      <c r="C33" s="8">
        <v>1</v>
      </c>
      <c r="D33" s="9">
        <v>29.99</v>
      </c>
      <c r="E33" s="8" t="s">
        <v>2298</v>
      </c>
      <c r="F33" s="7" t="s">
        <v>1519</v>
      </c>
      <c r="G33" s="10"/>
      <c r="H33" s="7" t="s">
        <v>1550</v>
      </c>
      <c r="I33" s="7" t="s">
        <v>1790</v>
      </c>
      <c r="J33" s="7" t="s">
        <v>1461</v>
      </c>
      <c r="K33" s="7"/>
      <c r="L33" s="11" t="str">
        <f>HYPERLINK("http://slimages.macys.com/is/image/MCY/14725222 ")</f>
        <v xml:space="preserve">http://slimages.macys.com/is/image/MCY/14725222 </v>
      </c>
    </row>
    <row r="34" spans="1:12" ht="39.950000000000003" customHeight="1" x14ac:dyDescent="0.25">
      <c r="A34" s="6" t="s">
        <v>1787</v>
      </c>
      <c r="B34" s="7" t="s">
        <v>1788</v>
      </c>
      <c r="C34" s="8">
        <v>2</v>
      </c>
      <c r="D34" s="9">
        <v>59.98</v>
      </c>
      <c r="E34" s="8" t="s">
        <v>1789</v>
      </c>
      <c r="F34" s="7" t="s">
        <v>1519</v>
      </c>
      <c r="G34" s="10"/>
      <c r="H34" s="7" t="s">
        <v>1550</v>
      </c>
      <c r="I34" s="7" t="s">
        <v>1790</v>
      </c>
      <c r="J34" s="7" t="s">
        <v>1461</v>
      </c>
      <c r="K34" s="7" t="s">
        <v>1527</v>
      </c>
      <c r="L34" s="11" t="str">
        <f>HYPERLINK("http://slimages.macys.com/is/image/MCY/14725269 ")</f>
        <v xml:space="preserve">http://slimages.macys.com/is/image/MCY/14725269 </v>
      </c>
    </row>
    <row r="35" spans="1:12" ht="39.950000000000003" customHeight="1" x14ac:dyDescent="0.25">
      <c r="A35" s="6" t="s">
        <v>2299</v>
      </c>
      <c r="B35" s="7" t="s">
        <v>2300</v>
      </c>
      <c r="C35" s="8">
        <v>1</v>
      </c>
      <c r="D35" s="9">
        <v>39.99</v>
      </c>
      <c r="E35" s="8" t="s">
        <v>2301</v>
      </c>
      <c r="F35" s="7" t="s">
        <v>2302</v>
      </c>
      <c r="G35" s="10"/>
      <c r="H35" s="7" t="s">
        <v>1532</v>
      </c>
      <c r="I35" s="7" t="s">
        <v>1533</v>
      </c>
      <c r="J35" s="7" t="s">
        <v>1461</v>
      </c>
      <c r="K35" s="7"/>
      <c r="L35" s="11" t="str">
        <f>HYPERLINK("http://slimages.macys.com/is/image/MCY/11241732 ")</f>
        <v xml:space="preserve">http://slimages.macys.com/is/image/MCY/11241732 </v>
      </c>
    </row>
    <row r="36" spans="1:12" ht="39.950000000000003" customHeight="1" x14ac:dyDescent="0.25">
      <c r="A36" s="6" t="s">
        <v>2303</v>
      </c>
      <c r="B36" s="7" t="s">
        <v>2304</v>
      </c>
      <c r="C36" s="8">
        <v>2</v>
      </c>
      <c r="D36" s="9">
        <v>79.98</v>
      </c>
      <c r="E36" s="8" t="s">
        <v>2305</v>
      </c>
      <c r="F36" s="7" t="s">
        <v>2048</v>
      </c>
      <c r="G36" s="10"/>
      <c r="H36" s="7" t="s">
        <v>1496</v>
      </c>
      <c r="I36" s="7" t="s">
        <v>1526</v>
      </c>
      <c r="J36" s="7" t="s">
        <v>1461</v>
      </c>
      <c r="K36" s="7" t="s">
        <v>1568</v>
      </c>
      <c r="L36" s="11" t="str">
        <f>HYPERLINK("http://slimages.macys.com/is/image/MCY/11607139 ")</f>
        <v xml:space="preserve">http://slimages.macys.com/is/image/MCY/11607139 </v>
      </c>
    </row>
    <row r="37" spans="1:12" ht="39.950000000000003" customHeight="1" x14ac:dyDescent="0.25">
      <c r="A37" s="6"/>
      <c r="B37" s="7"/>
      <c r="C37" s="8"/>
      <c r="D37" s="9"/>
      <c r="E37" s="8"/>
      <c r="F37" s="7"/>
      <c r="G37" s="10"/>
      <c r="H37" s="7"/>
      <c r="I37" s="7"/>
      <c r="J37" s="7"/>
      <c r="K37" s="7"/>
      <c r="L37" s="11"/>
    </row>
    <row r="38" spans="1:12" ht="39.950000000000003" customHeight="1" x14ac:dyDescent="0.25">
      <c r="A38" s="6"/>
      <c r="B38" s="7"/>
      <c r="C38" s="8"/>
      <c r="D38" s="9"/>
      <c r="E38" s="8"/>
      <c r="F38" s="7"/>
      <c r="G38" s="10"/>
      <c r="H38" s="7"/>
      <c r="I38" s="7"/>
      <c r="J38" s="7"/>
      <c r="K38" s="7"/>
      <c r="L38" s="11"/>
    </row>
    <row r="39" spans="1:12" ht="39.950000000000003" customHeight="1" x14ac:dyDescent="0.25">
      <c r="A39" s="6"/>
      <c r="B39" s="7"/>
      <c r="C39" s="8"/>
      <c r="D39" s="9"/>
      <c r="E39" s="8"/>
      <c r="F39" s="7"/>
      <c r="G39" s="10"/>
      <c r="H39" s="7"/>
      <c r="I39" s="7"/>
      <c r="J39" s="7"/>
      <c r="K39" s="7"/>
      <c r="L39" s="11"/>
    </row>
    <row r="40" spans="1:12" ht="39.950000000000003" customHeight="1" x14ac:dyDescent="0.25">
      <c r="A40" s="6"/>
      <c r="B40" s="7"/>
      <c r="C40" s="8"/>
      <c r="D40" s="9"/>
      <c r="E40" s="8"/>
      <c r="F40" s="7"/>
      <c r="G40" s="10"/>
      <c r="H40" s="7"/>
      <c r="I40" s="7"/>
      <c r="J40" s="7"/>
      <c r="K40" s="7"/>
      <c r="L40" s="11"/>
    </row>
    <row r="41" spans="1:12" ht="39.950000000000003" customHeight="1" x14ac:dyDescent="0.25">
      <c r="A41" s="6"/>
      <c r="B41" s="7"/>
      <c r="C41" s="8"/>
      <c r="D41" s="9"/>
      <c r="E41" s="8"/>
      <c r="F41" s="7"/>
      <c r="G41" s="10"/>
      <c r="H41" s="7"/>
      <c r="I41" s="7"/>
      <c r="J41" s="7"/>
      <c r="K41" s="7"/>
      <c r="L41" s="11"/>
    </row>
    <row r="42" spans="1:12" ht="39.950000000000003" customHeight="1" x14ac:dyDescent="0.25">
      <c r="A42" s="6"/>
      <c r="B42" s="7"/>
      <c r="C42" s="8"/>
      <c r="D42" s="9"/>
      <c r="E42" s="8"/>
      <c r="F42" s="7"/>
      <c r="G42" s="10"/>
      <c r="H42" s="7"/>
      <c r="I42" s="7"/>
      <c r="J42" s="7"/>
      <c r="K42" s="7"/>
      <c r="L42" s="11"/>
    </row>
    <row r="43" spans="1:12" ht="39.950000000000003" customHeight="1" x14ac:dyDescent="0.25">
      <c r="A43" s="6"/>
      <c r="B43" s="7"/>
      <c r="C43" s="8"/>
      <c r="D43" s="9"/>
      <c r="E43" s="8"/>
      <c r="F43" s="7"/>
      <c r="G43" s="10"/>
      <c r="H43" s="7"/>
      <c r="I43" s="7"/>
      <c r="J43" s="7"/>
      <c r="K43" s="7"/>
      <c r="L43" s="11"/>
    </row>
    <row r="44" spans="1:12" ht="39.950000000000003" customHeight="1" x14ac:dyDescent="0.25">
      <c r="A44" s="6"/>
      <c r="B44" s="7"/>
      <c r="C44" s="8"/>
      <c r="D44" s="9"/>
      <c r="E44" s="8"/>
      <c r="F44" s="7"/>
      <c r="G44" s="10"/>
      <c r="H44" s="7"/>
      <c r="I44" s="7"/>
      <c r="J44" s="7"/>
      <c r="K44" s="7"/>
      <c r="L44" s="11"/>
    </row>
    <row r="45" spans="1:12" ht="39.950000000000003" customHeight="1" x14ac:dyDescent="0.25">
      <c r="A45" s="6"/>
      <c r="B45" s="7"/>
      <c r="C45" s="8"/>
      <c r="D45" s="9"/>
      <c r="E45" s="8"/>
      <c r="F45" s="7"/>
      <c r="G45" s="10"/>
      <c r="H45" s="7"/>
      <c r="I45" s="7"/>
      <c r="J45" s="7"/>
      <c r="K45" s="7"/>
      <c r="L45" s="11"/>
    </row>
    <row r="46" spans="1:12" ht="39.950000000000003" customHeight="1" x14ac:dyDescent="0.25">
      <c r="A46" s="6"/>
      <c r="B46" s="7"/>
      <c r="C46" s="8"/>
      <c r="D46" s="9"/>
      <c r="E46" s="8"/>
      <c r="F46" s="7"/>
      <c r="G46" s="10"/>
      <c r="H46" s="7"/>
      <c r="I46" s="7"/>
      <c r="J46" s="7"/>
      <c r="K46" s="7"/>
      <c r="L46" s="11"/>
    </row>
    <row r="47" spans="1:12" ht="39.950000000000003" customHeight="1" x14ac:dyDescent="0.25">
      <c r="A47" s="6"/>
      <c r="B47" s="7"/>
      <c r="C47" s="8"/>
      <c r="D47" s="9"/>
      <c r="E47" s="8"/>
      <c r="F47" s="7"/>
      <c r="G47" s="10"/>
      <c r="H47" s="7"/>
      <c r="I47" s="7"/>
      <c r="J47" s="7"/>
      <c r="K47" s="7"/>
      <c r="L47" s="11"/>
    </row>
    <row r="48" spans="1:12" ht="39.950000000000003" customHeight="1" x14ac:dyDescent="0.25">
      <c r="A48" s="6"/>
      <c r="B48" s="7"/>
      <c r="C48" s="8"/>
      <c r="D48" s="9"/>
      <c r="E48" s="8"/>
      <c r="F48" s="7"/>
      <c r="G48" s="10"/>
      <c r="H48" s="7"/>
      <c r="I48" s="7"/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39.950000000000003" customHeight="1" x14ac:dyDescent="0.25"/>
  <cols>
    <col min="1" max="1" width="14.28515625" customWidth="1"/>
    <col min="2" max="2" width="22.28515625" customWidth="1"/>
    <col min="3" max="3" width="15" customWidth="1"/>
    <col min="4" max="4" width="10.28515625" customWidth="1"/>
    <col min="5" max="5" width="17.140625" customWidth="1"/>
    <col min="6" max="6" width="11.42578125" customWidth="1"/>
    <col min="7" max="7" width="10.85546875" customWidth="1"/>
    <col min="8" max="8" width="12.140625" customWidth="1"/>
    <col min="9" max="9" width="36.5703125" bestFit="1" customWidth="1"/>
    <col min="10" max="11" width="20.7109375" customWidth="1"/>
    <col min="12" max="12" width="64.28515625" customWidth="1"/>
  </cols>
  <sheetData>
    <row r="1" spans="1:12" ht="39.950000000000003" customHeight="1" x14ac:dyDescent="0.25">
      <c r="A1" s="5" t="s">
        <v>1443</v>
      </c>
      <c r="B1" s="5" t="s">
        <v>1444</v>
      </c>
      <c r="C1" s="5" t="s">
        <v>1445</v>
      </c>
      <c r="D1" s="5" t="s">
        <v>1446</v>
      </c>
      <c r="E1" s="5" t="s">
        <v>1447</v>
      </c>
      <c r="F1" s="5" t="s">
        <v>1448</v>
      </c>
      <c r="G1" s="5" t="s">
        <v>1449</v>
      </c>
      <c r="H1" s="5" t="s">
        <v>1450</v>
      </c>
      <c r="I1" s="5" t="s">
        <v>1451</v>
      </c>
      <c r="J1" s="5" t="s">
        <v>1452</v>
      </c>
      <c r="K1" s="5" t="s">
        <v>1453</v>
      </c>
      <c r="L1" s="5" t="s">
        <v>1454</v>
      </c>
    </row>
    <row r="2" spans="1:12" ht="39.950000000000003" customHeight="1" x14ac:dyDescent="0.25">
      <c r="A2" s="6" t="s">
        <v>2306</v>
      </c>
      <c r="B2" s="7" t="s">
        <v>2307</v>
      </c>
      <c r="C2" s="8">
        <v>1</v>
      </c>
      <c r="D2" s="9">
        <v>439.99</v>
      </c>
      <c r="E2" s="8" t="s">
        <v>2308</v>
      </c>
      <c r="F2" s="7" t="s">
        <v>1458</v>
      </c>
      <c r="G2" s="10" t="s">
        <v>1466</v>
      </c>
      <c r="H2" s="7" t="s">
        <v>1459</v>
      </c>
      <c r="I2" s="7" t="s">
        <v>1460</v>
      </c>
      <c r="J2" s="7" t="s">
        <v>1461</v>
      </c>
      <c r="K2" s="7" t="s">
        <v>1462</v>
      </c>
      <c r="L2" s="11" t="str">
        <f>HYPERLINK("http://slimages.macys.com/is/image/MCY/3974565 ")</f>
        <v xml:space="preserve">http://slimages.macys.com/is/image/MCY/3974565 </v>
      </c>
    </row>
    <row r="3" spans="1:12" ht="39.950000000000003" customHeight="1" x14ac:dyDescent="0.25">
      <c r="A3" s="6" t="s">
        <v>2309</v>
      </c>
      <c r="B3" s="7" t="s">
        <v>2310</v>
      </c>
      <c r="C3" s="8">
        <v>1</v>
      </c>
      <c r="D3" s="9">
        <v>299.99</v>
      </c>
      <c r="E3" s="8" t="s">
        <v>2311</v>
      </c>
      <c r="F3" s="7" t="s">
        <v>1477</v>
      </c>
      <c r="G3" s="10"/>
      <c r="H3" s="7" t="s">
        <v>1764</v>
      </c>
      <c r="I3" s="7" t="s">
        <v>1884</v>
      </c>
      <c r="J3" s="7" t="s">
        <v>1461</v>
      </c>
      <c r="K3" s="7" t="s">
        <v>2312</v>
      </c>
      <c r="L3" s="11" t="str">
        <f>HYPERLINK("http://slimages.macys.com/is/image/MCY/8437860 ")</f>
        <v xml:space="preserve">http://slimages.macys.com/is/image/MCY/8437860 </v>
      </c>
    </row>
    <row r="4" spans="1:12" ht="39.950000000000003" customHeight="1" x14ac:dyDescent="0.25">
      <c r="A4" s="6" t="s">
        <v>2313</v>
      </c>
      <c r="B4" s="7" t="s">
        <v>2314</v>
      </c>
      <c r="C4" s="8">
        <v>1</v>
      </c>
      <c r="D4" s="9">
        <v>299.99</v>
      </c>
      <c r="E4" s="8" t="s">
        <v>2315</v>
      </c>
      <c r="F4" s="7" t="s">
        <v>1549</v>
      </c>
      <c r="G4" s="10"/>
      <c r="H4" s="7" t="s">
        <v>1467</v>
      </c>
      <c r="I4" s="7" t="s">
        <v>1712</v>
      </c>
      <c r="J4" s="7" t="s">
        <v>1461</v>
      </c>
      <c r="K4" s="7" t="s">
        <v>2316</v>
      </c>
      <c r="L4" s="11" t="str">
        <f>HYPERLINK("http://slimages.macys.com/is/image/MCY/11283530 ")</f>
        <v xml:space="preserve">http://slimages.macys.com/is/image/MCY/11283530 </v>
      </c>
    </row>
    <row r="5" spans="1:12" ht="39.950000000000003" customHeight="1" x14ac:dyDescent="0.25">
      <c r="A5" s="6" t="s">
        <v>2317</v>
      </c>
      <c r="B5" s="7" t="s">
        <v>2318</v>
      </c>
      <c r="C5" s="8">
        <v>1</v>
      </c>
      <c r="D5" s="9">
        <v>192.99</v>
      </c>
      <c r="E5" s="8" t="s">
        <v>2319</v>
      </c>
      <c r="F5" s="7" t="s">
        <v>1711</v>
      </c>
      <c r="G5" s="10" t="s">
        <v>2320</v>
      </c>
      <c r="H5" s="7" t="s">
        <v>1664</v>
      </c>
      <c r="I5" s="7" t="s">
        <v>2321</v>
      </c>
      <c r="J5" s="7" t="s">
        <v>1461</v>
      </c>
      <c r="K5" s="7" t="s">
        <v>2322</v>
      </c>
      <c r="L5" s="11" t="str">
        <f>HYPERLINK("http://slimages.macys.com/is/image/MCY/12230213 ")</f>
        <v xml:space="preserve">http://slimages.macys.com/is/image/MCY/12230213 </v>
      </c>
    </row>
    <row r="6" spans="1:12" ht="39.950000000000003" customHeight="1" x14ac:dyDescent="0.25">
      <c r="A6" s="6" t="s">
        <v>2323</v>
      </c>
      <c r="B6" s="7" t="s">
        <v>2324</v>
      </c>
      <c r="C6" s="8">
        <v>1</v>
      </c>
      <c r="D6" s="9">
        <v>169.99</v>
      </c>
      <c r="E6" s="8" t="s">
        <v>2325</v>
      </c>
      <c r="F6" s="7" t="s">
        <v>1458</v>
      </c>
      <c r="G6" s="10"/>
      <c r="H6" s="7" t="s">
        <v>1545</v>
      </c>
      <c r="I6" s="7" t="s">
        <v>1546</v>
      </c>
      <c r="J6" s="7"/>
      <c r="K6" s="7"/>
      <c r="L6" s="11" t="str">
        <f>HYPERLINK("http://slimages.macys.com/is/image/MCY/18891300 ")</f>
        <v xml:space="preserve">http://slimages.macys.com/is/image/MCY/18891300 </v>
      </c>
    </row>
    <row r="7" spans="1:12" ht="39.950000000000003" customHeight="1" x14ac:dyDescent="0.25">
      <c r="A7" s="6" t="s">
        <v>2326</v>
      </c>
      <c r="B7" s="7" t="s">
        <v>2327</v>
      </c>
      <c r="C7" s="8">
        <v>1</v>
      </c>
      <c r="D7" s="9">
        <v>199.99</v>
      </c>
      <c r="E7" s="8" t="s">
        <v>2328</v>
      </c>
      <c r="F7" s="7" t="s">
        <v>1495</v>
      </c>
      <c r="G7" s="10"/>
      <c r="H7" s="7" t="s">
        <v>1506</v>
      </c>
      <c r="I7" s="7" t="s">
        <v>1959</v>
      </c>
      <c r="J7" s="7" t="s">
        <v>1461</v>
      </c>
      <c r="K7" s="7" t="s">
        <v>1527</v>
      </c>
      <c r="L7" s="11" t="str">
        <f>HYPERLINK("http://slimages.macys.com/is/image/MCY/10981074 ")</f>
        <v xml:space="preserve">http://slimages.macys.com/is/image/MCY/10981074 </v>
      </c>
    </row>
    <row r="8" spans="1:12" ht="39.950000000000003" customHeight="1" x14ac:dyDescent="0.25">
      <c r="A8" s="6" t="s">
        <v>2329</v>
      </c>
      <c r="B8" s="7" t="s">
        <v>2330</v>
      </c>
      <c r="C8" s="8">
        <v>1</v>
      </c>
      <c r="D8" s="9">
        <v>129.99</v>
      </c>
      <c r="E8" s="8">
        <v>61132</v>
      </c>
      <c r="F8" s="7" t="s">
        <v>1458</v>
      </c>
      <c r="G8" s="10"/>
      <c r="H8" s="7" t="s">
        <v>1692</v>
      </c>
      <c r="I8" s="7" t="s">
        <v>1969</v>
      </c>
      <c r="J8" s="7" t="s">
        <v>1461</v>
      </c>
      <c r="K8" s="7" t="s">
        <v>1564</v>
      </c>
      <c r="L8" s="11" t="str">
        <f>HYPERLINK("http://slimages.macys.com/is/image/MCY/15866409 ")</f>
        <v xml:space="preserve">http://slimages.macys.com/is/image/MCY/15866409 </v>
      </c>
    </row>
    <row r="9" spans="1:12" ht="39.950000000000003" customHeight="1" x14ac:dyDescent="0.25">
      <c r="A9" s="6" t="s">
        <v>2331</v>
      </c>
      <c r="B9" s="7" t="s">
        <v>2332</v>
      </c>
      <c r="C9" s="8">
        <v>1</v>
      </c>
      <c r="D9" s="9">
        <v>219.99</v>
      </c>
      <c r="E9" s="8" t="s">
        <v>2333</v>
      </c>
      <c r="F9" s="7" t="s">
        <v>1711</v>
      </c>
      <c r="G9" s="10" t="s">
        <v>2334</v>
      </c>
      <c r="H9" s="7" t="s">
        <v>1467</v>
      </c>
      <c r="I9" s="7" t="s">
        <v>1514</v>
      </c>
      <c r="J9" s="7" t="s">
        <v>1461</v>
      </c>
      <c r="K9" s="7" t="s">
        <v>1515</v>
      </c>
      <c r="L9" s="11" t="str">
        <f>HYPERLINK("http://slimages.macys.com/is/image/MCY/15162804 ")</f>
        <v xml:space="preserve">http://slimages.macys.com/is/image/MCY/15162804 </v>
      </c>
    </row>
    <row r="10" spans="1:12" ht="39.950000000000003" customHeight="1" x14ac:dyDescent="0.25">
      <c r="A10" s="6" t="s">
        <v>2335</v>
      </c>
      <c r="B10" s="7" t="s">
        <v>2336</v>
      </c>
      <c r="C10" s="8">
        <v>1</v>
      </c>
      <c r="D10" s="9">
        <v>119.99</v>
      </c>
      <c r="E10" s="8" t="s">
        <v>2337</v>
      </c>
      <c r="F10" s="7" t="s">
        <v>1482</v>
      </c>
      <c r="G10" s="10"/>
      <c r="H10" s="7" t="s">
        <v>2089</v>
      </c>
      <c r="I10" s="7" t="s">
        <v>2090</v>
      </c>
      <c r="J10" s="7" t="s">
        <v>1461</v>
      </c>
      <c r="K10" s="7" t="s">
        <v>2338</v>
      </c>
      <c r="L10" s="11" t="str">
        <f>HYPERLINK("http://slimages.macys.com/is/image/MCY/16533936 ")</f>
        <v xml:space="preserve">http://slimages.macys.com/is/image/MCY/16533936 </v>
      </c>
    </row>
    <row r="11" spans="1:12" ht="39.950000000000003" customHeight="1" x14ac:dyDescent="0.25">
      <c r="A11" s="6" t="s">
        <v>2339</v>
      </c>
      <c r="B11" s="7" t="s">
        <v>2340</v>
      </c>
      <c r="C11" s="8">
        <v>1</v>
      </c>
      <c r="D11" s="9">
        <v>149.99</v>
      </c>
      <c r="E11" s="8" t="s">
        <v>2341</v>
      </c>
      <c r="F11" s="7" t="s">
        <v>1549</v>
      </c>
      <c r="G11" s="10"/>
      <c r="H11" s="7" t="s">
        <v>1545</v>
      </c>
      <c r="I11" s="7" t="s">
        <v>1546</v>
      </c>
      <c r="J11" s="7"/>
      <c r="K11" s="7"/>
      <c r="L11" s="11" t="str">
        <f>HYPERLINK("http://slimages.macys.com/is/image/MCY/18400106 ")</f>
        <v xml:space="preserve">http://slimages.macys.com/is/image/MCY/18400106 </v>
      </c>
    </row>
    <row r="12" spans="1:12" ht="39.950000000000003" customHeight="1" x14ac:dyDescent="0.25">
      <c r="A12" s="6" t="s">
        <v>2342</v>
      </c>
      <c r="B12" s="7" t="s">
        <v>2343</v>
      </c>
      <c r="C12" s="8">
        <v>1</v>
      </c>
      <c r="D12" s="9">
        <v>139.99</v>
      </c>
      <c r="E12" s="8" t="s">
        <v>2344</v>
      </c>
      <c r="F12" s="7" t="s">
        <v>1576</v>
      </c>
      <c r="G12" s="10"/>
      <c r="H12" s="7" t="s">
        <v>1545</v>
      </c>
      <c r="I12" s="7" t="s">
        <v>1546</v>
      </c>
      <c r="J12" s="7"/>
      <c r="K12" s="7"/>
      <c r="L12" s="11" t="str">
        <f>HYPERLINK("http://slimages.macys.com/is/image/MCY/17549504 ")</f>
        <v xml:space="preserve">http://slimages.macys.com/is/image/MCY/17549504 </v>
      </c>
    </row>
    <row r="13" spans="1:12" ht="39.950000000000003" customHeight="1" x14ac:dyDescent="0.25">
      <c r="A13" s="6" t="s">
        <v>2345</v>
      </c>
      <c r="B13" s="7" t="s">
        <v>2346</v>
      </c>
      <c r="C13" s="8">
        <v>1</v>
      </c>
      <c r="D13" s="9">
        <v>99.99</v>
      </c>
      <c r="E13" s="8" t="s">
        <v>2347</v>
      </c>
      <c r="F13" s="7" t="s">
        <v>1458</v>
      </c>
      <c r="G13" s="10"/>
      <c r="H13" s="7" t="s">
        <v>1496</v>
      </c>
      <c r="I13" s="7" t="s">
        <v>1526</v>
      </c>
      <c r="J13" s="7" t="s">
        <v>1461</v>
      </c>
      <c r="K13" s="7"/>
      <c r="L13" s="11" t="str">
        <f>HYPERLINK("http://slimages.macys.com/is/image/MCY/11534834 ")</f>
        <v xml:space="preserve">http://slimages.macys.com/is/image/MCY/11534834 </v>
      </c>
    </row>
    <row r="14" spans="1:12" ht="39.950000000000003" customHeight="1" x14ac:dyDescent="0.25">
      <c r="A14" s="6" t="s">
        <v>2348</v>
      </c>
      <c r="B14" s="7" t="s">
        <v>2349</v>
      </c>
      <c r="C14" s="8">
        <v>1</v>
      </c>
      <c r="D14" s="9">
        <v>99.99</v>
      </c>
      <c r="E14" s="8" t="s">
        <v>2350</v>
      </c>
      <c r="F14" s="7" t="s">
        <v>1627</v>
      </c>
      <c r="G14" s="10"/>
      <c r="H14" s="7" t="s">
        <v>1496</v>
      </c>
      <c r="I14" s="7" t="s">
        <v>1526</v>
      </c>
      <c r="J14" s="7" t="s">
        <v>1461</v>
      </c>
      <c r="K14" s="7"/>
      <c r="L14" s="11" t="str">
        <f>HYPERLINK("http://slimages.macys.com/is/image/MCY/11534834 ")</f>
        <v xml:space="preserve">http://slimages.macys.com/is/image/MCY/11534834 </v>
      </c>
    </row>
    <row r="15" spans="1:12" ht="39.950000000000003" customHeight="1" x14ac:dyDescent="0.25">
      <c r="A15" s="6" t="s">
        <v>2351</v>
      </c>
      <c r="B15" s="7" t="s">
        <v>2352</v>
      </c>
      <c r="C15" s="8">
        <v>1</v>
      </c>
      <c r="D15" s="9">
        <v>99.99</v>
      </c>
      <c r="E15" s="8" t="s">
        <v>2353</v>
      </c>
      <c r="F15" s="7" t="s">
        <v>1549</v>
      </c>
      <c r="G15" s="10"/>
      <c r="H15" s="7" t="s">
        <v>1550</v>
      </c>
      <c r="I15" s="7" t="s">
        <v>1790</v>
      </c>
      <c r="J15" s="7" t="s">
        <v>1461</v>
      </c>
      <c r="K15" s="7" t="s">
        <v>2354</v>
      </c>
      <c r="L15" s="11" t="str">
        <f>HYPERLINK("http://slimages.macys.com/is/image/MCY/3467222 ")</f>
        <v xml:space="preserve">http://slimages.macys.com/is/image/MCY/3467222 </v>
      </c>
    </row>
    <row r="16" spans="1:12" ht="39.950000000000003" customHeight="1" x14ac:dyDescent="0.25">
      <c r="A16" s="6" t="s">
        <v>2355</v>
      </c>
      <c r="B16" s="7" t="s">
        <v>2356</v>
      </c>
      <c r="C16" s="8">
        <v>1</v>
      </c>
      <c r="D16" s="9">
        <v>129.99</v>
      </c>
      <c r="E16" s="8" t="s">
        <v>2357</v>
      </c>
      <c r="F16" s="7" t="s">
        <v>1549</v>
      </c>
      <c r="G16" s="10"/>
      <c r="H16" s="7" t="s">
        <v>1496</v>
      </c>
      <c r="I16" s="7" t="s">
        <v>1526</v>
      </c>
      <c r="J16" s="7" t="s">
        <v>1461</v>
      </c>
      <c r="K16" s="7" t="s">
        <v>1527</v>
      </c>
      <c r="L16" s="11" t="str">
        <f>HYPERLINK("http://slimages.macys.com/is/image/MCY/11607139 ")</f>
        <v xml:space="preserve">http://slimages.macys.com/is/image/MCY/11607139 </v>
      </c>
    </row>
    <row r="17" spans="1:12" ht="39.950000000000003" customHeight="1" x14ac:dyDescent="0.25">
      <c r="A17" s="6" t="s">
        <v>2358</v>
      </c>
      <c r="B17" s="7" t="s">
        <v>2359</v>
      </c>
      <c r="C17" s="8">
        <v>1</v>
      </c>
      <c r="D17" s="9">
        <v>99.99</v>
      </c>
      <c r="E17" s="8" t="s">
        <v>2360</v>
      </c>
      <c r="F17" s="7" t="s">
        <v>1495</v>
      </c>
      <c r="G17" s="10"/>
      <c r="H17" s="7" t="s">
        <v>1496</v>
      </c>
      <c r="I17" s="7" t="s">
        <v>1526</v>
      </c>
      <c r="J17" s="7" t="s">
        <v>1461</v>
      </c>
      <c r="K17" s="7" t="s">
        <v>1568</v>
      </c>
      <c r="L17" s="11" t="str">
        <f>HYPERLINK("http://slimages.macys.com/is/image/MCY/11607139 ")</f>
        <v xml:space="preserve">http://slimages.macys.com/is/image/MCY/11607139 </v>
      </c>
    </row>
    <row r="18" spans="1:12" ht="39.950000000000003" customHeight="1" x14ac:dyDescent="0.25">
      <c r="A18" s="6" t="s">
        <v>2361</v>
      </c>
      <c r="B18" s="7" t="s">
        <v>2362</v>
      </c>
      <c r="C18" s="8">
        <v>1</v>
      </c>
      <c r="D18" s="9">
        <v>104.99</v>
      </c>
      <c r="E18" s="8">
        <v>62340</v>
      </c>
      <c r="F18" s="7" t="s">
        <v>1458</v>
      </c>
      <c r="G18" s="10"/>
      <c r="H18" s="7" t="s">
        <v>1692</v>
      </c>
      <c r="I18" s="7" t="s">
        <v>1969</v>
      </c>
      <c r="J18" s="7" t="s">
        <v>1461</v>
      </c>
      <c r="K18" s="7" t="s">
        <v>2363</v>
      </c>
      <c r="L18" s="11" t="str">
        <f>HYPERLINK("http://slimages.macys.com/is/image/MCY/15617550 ")</f>
        <v xml:space="preserve">http://slimages.macys.com/is/image/MCY/15617550 </v>
      </c>
    </row>
    <row r="19" spans="1:12" ht="39.950000000000003" customHeight="1" x14ac:dyDescent="0.25">
      <c r="A19" s="6" t="s">
        <v>2364</v>
      </c>
      <c r="B19" s="7" t="s">
        <v>2365</v>
      </c>
      <c r="C19" s="8">
        <v>1</v>
      </c>
      <c r="D19" s="9">
        <v>59.99</v>
      </c>
      <c r="E19" s="8" t="s">
        <v>2366</v>
      </c>
      <c r="F19" s="7" t="s">
        <v>1458</v>
      </c>
      <c r="G19" s="10"/>
      <c r="H19" s="7" t="s">
        <v>1555</v>
      </c>
      <c r="I19" s="7" t="s">
        <v>1830</v>
      </c>
      <c r="J19" s="7" t="s">
        <v>1461</v>
      </c>
      <c r="K19" s="7" t="s">
        <v>1831</v>
      </c>
      <c r="L19" s="11" t="str">
        <f>HYPERLINK("http://slimages.macys.com/is/image/MCY/13036438 ")</f>
        <v xml:space="preserve">http://slimages.macys.com/is/image/MCY/13036438 </v>
      </c>
    </row>
    <row r="20" spans="1:12" ht="39.950000000000003" customHeight="1" x14ac:dyDescent="0.25">
      <c r="A20" s="6" t="s">
        <v>2367</v>
      </c>
      <c r="B20" s="7" t="s">
        <v>2368</v>
      </c>
      <c r="C20" s="8">
        <v>1</v>
      </c>
      <c r="D20" s="9">
        <v>99.99</v>
      </c>
      <c r="E20" s="8">
        <v>100072240</v>
      </c>
      <c r="F20" s="7" t="s">
        <v>1868</v>
      </c>
      <c r="G20" s="10"/>
      <c r="H20" s="7" t="s">
        <v>1467</v>
      </c>
      <c r="I20" s="7" t="s">
        <v>1468</v>
      </c>
      <c r="J20" s="7" t="s">
        <v>1461</v>
      </c>
      <c r="K20" s="7" t="s">
        <v>2369</v>
      </c>
      <c r="L20" s="11" t="str">
        <f>HYPERLINK("http://slimages.macys.com/is/image/MCY/12898884 ")</f>
        <v xml:space="preserve">http://slimages.macys.com/is/image/MCY/12898884 </v>
      </c>
    </row>
    <row r="21" spans="1:12" ht="39.950000000000003" customHeight="1" x14ac:dyDescent="0.25">
      <c r="A21" s="6" t="s">
        <v>2370</v>
      </c>
      <c r="B21" s="7" t="s">
        <v>2371</v>
      </c>
      <c r="C21" s="8">
        <v>1</v>
      </c>
      <c r="D21" s="9">
        <v>59.99</v>
      </c>
      <c r="E21" s="8" t="s">
        <v>2372</v>
      </c>
      <c r="F21" s="7" t="s">
        <v>1554</v>
      </c>
      <c r="G21" s="10"/>
      <c r="H21" s="7" t="s">
        <v>1555</v>
      </c>
      <c r="I21" s="7" t="s">
        <v>2373</v>
      </c>
      <c r="J21" s="7" t="s">
        <v>1461</v>
      </c>
      <c r="K21" s="7" t="s">
        <v>1527</v>
      </c>
      <c r="L21" s="11" t="str">
        <f>HYPERLINK("http://slimages.macys.com/is/image/MCY/3995435 ")</f>
        <v xml:space="preserve">http://slimages.macys.com/is/image/MCY/3995435 </v>
      </c>
    </row>
    <row r="22" spans="1:12" ht="39.950000000000003" customHeight="1" x14ac:dyDescent="0.25">
      <c r="A22" s="6" t="s">
        <v>2374</v>
      </c>
      <c r="B22" s="7" t="s">
        <v>2375</v>
      </c>
      <c r="C22" s="8">
        <v>1</v>
      </c>
      <c r="D22" s="9">
        <v>89.99</v>
      </c>
      <c r="E22" s="8" t="s">
        <v>2376</v>
      </c>
      <c r="F22" s="7" t="s">
        <v>1549</v>
      </c>
      <c r="G22" s="10"/>
      <c r="H22" s="7" t="s">
        <v>1467</v>
      </c>
      <c r="I22" s="7" t="s">
        <v>1468</v>
      </c>
      <c r="J22" s="7" t="s">
        <v>1461</v>
      </c>
      <c r="K22" s="7"/>
      <c r="L22" s="11" t="str">
        <f>HYPERLINK("http://slimages.macys.com/is/image/MCY/10673248 ")</f>
        <v xml:space="preserve">http://slimages.macys.com/is/image/MCY/10673248 </v>
      </c>
    </row>
    <row r="23" spans="1:12" ht="39.950000000000003" customHeight="1" x14ac:dyDescent="0.25">
      <c r="A23" s="6" t="s">
        <v>2377</v>
      </c>
      <c r="B23" s="7" t="s">
        <v>2378</v>
      </c>
      <c r="C23" s="8">
        <v>1</v>
      </c>
      <c r="D23" s="9">
        <v>99.99</v>
      </c>
      <c r="E23" s="8" t="s">
        <v>2379</v>
      </c>
      <c r="F23" s="7" t="s">
        <v>1458</v>
      </c>
      <c r="G23" s="10"/>
      <c r="H23" s="7" t="s">
        <v>1496</v>
      </c>
      <c r="I23" s="7" t="s">
        <v>1526</v>
      </c>
      <c r="J23" s="7" t="s">
        <v>1461</v>
      </c>
      <c r="K23" s="7" t="s">
        <v>1913</v>
      </c>
      <c r="L23" s="11" t="str">
        <f>HYPERLINK("http://slimages.macys.com/is/image/MCY/14883564 ")</f>
        <v xml:space="preserve">http://slimages.macys.com/is/image/MCY/14883564 </v>
      </c>
    </row>
    <row r="24" spans="1:12" ht="39.950000000000003" customHeight="1" x14ac:dyDescent="0.25">
      <c r="A24" s="6" t="s">
        <v>2380</v>
      </c>
      <c r="B24" s="7" t="s">
        <v>2381</v>
      </c>
      <c r="C24" s="8">
        <v>1</v>
      </c>
      <c r="D24" s="9">
        <v>49.99</v>
      </c>
      <c r="E24" s="8">
        <v>22361238</v>
      </c>
      <c r="F24" s="7" t="s">
        <v>1554</v>
      </c>
      <c r="G24" s="10"/>
      <c r="H24" s="7" t="s">
        <v>1555</v>
      </c>
      <c r="I24" s="7" t="s">
        <v>1556</v>
      </c>
      <c r="J24" s="7"/>
      <c r="K24" s="7"/>
      <c r="L24" s="11" t="str">
        <f>HYPERLINK("http://slimages.macys.com/is/image/MCY/17191784 ")</f>
        <v xml:space="preserve">http://slimages.macys.com/is/image/MCY/17191784 </v>
      </c>
    </row>
    <row r="25" spans="1:12" ht="39.950000000000003" customHeight="1" x14ac:dyDescent="0.25">
      <c r="A25" s="6" t="s">
        <v>2382</v>
      </c>
      <c r="B25" s="7" t="s">
        <v>2383</v>
      </c>
      <c r="C25" s="8">
        <v>1</v>
      </c>
      <c r="D25" s="9">
        <v>49.99</v>
      </c>
      <c r="E25" s="8" t="s">
        <v>2384</v>
      </c>
      <c r="F25" s="7" t="s">
        <v>1877</v>
      </c>
      <c r="G25" s="10"/>
      <c r="H25" s="7" t="s">
        <v>1764</v>
      </c>
      <c r="I25" s="7" t="s">
        <v>1894</v>
      </c>
      <c r="J25" s="7" t="s">
        <v>1461</v>
      </c>
      <c r="K25" s="7" t="s">
        <v>2385</v>
      </c>
      <c r="L25" s="11" t="str">
        <f>HYPERLINK("http://slimages.macys.com/is/image/MCY/12509988 ")</f>
        <v xml:space="preserve">http://slimages.macys.com/is/image/MCY/12509988 </v>
      </c>
    </row>
    <row r="26" spans="1:12" ht="39.950000000000003" customHeight="1" x14ac:dyDescent="0.25">
      <c r="A26" s="6" t="s">
        <v>2386</v>
      </c>
      <c r="B26" s="7" t="s">
        <v>2387</v>
      </c>
      <c r="C26" s="8">
        <v>1</v>
      </c>
      <c r="D26" s="9">
        <v>49.99</v>
      </c>
      <c r="E26" s="8" t="s">
        <v>2388</v>
      </c>
      <c r="F26" s="7" t="s">
        <v>1505</v>
      </c>
      <c r="G26" s="10"/>
      <c r="H26" s="7" t="s">
        <v>1555</v>
      </c>
      <c r="I26" s="7" t="s">
        <v>1830</v>
      </c>
      <c r="J26" s="7"/>
      <c r="K26" s="7"/>
      <c r="L26" s="11" t="str">
        <f>HYPERLINK("http://slimages.macys.com/is/image/MCY/17968749 ")</f>
        <v xml:space="preserve">http://slimages.macys.com/is/image/MCY/17968749 </v>
      </c>
    </row>
    <row r="27" spans="1:12" ht="39.950000000000003" customHeight="1" x14ac:dyDescent="0.25">
      <c r="A27" s="6" t="s">
        <v>2389</v>
      </c>
      <c r="B27" s="7" t="s">
        <v>2390</v>
      </c>
      <c r="C27" s="8">
        <v>1</v>
      </c>
      <c r="D27" s="9">
        <v>37.99</v>
      </c>
      <c r="E27" s="8" t="s">
        <v>2391</v>
      </c>
      <c r="F27" s="7" t="s">
        <v>1519</v>
      </c>
      <c r="G27" s="10"/>
      <c r="H27" s="7" t="s">
        <v>1605</v>
      </c>
      <c r="I27" s="7" t="s">
        <v>1521</v>
      </c>
      <c r="J27" s="7" t="s">
        <v>1461</v>
      </c>
      <c r="K27" s="7" t="s">
        <v>2392</v>
      </c>
      <c r="L27" s="11" t="str">
        <f>HYPERLINK("http://slimages.macys.com/is/image/MCY/15649964 ")</f>
        <v xml:space="preserve">http://slimages.macys.com/is/image/MCY/15649964 </v>
      </c>
    </row>
    <row r="28" spans="1:12" ht="39.950000000000003" customHeight="1" x14ac:dyDescent="0.25">
      <c r="A28" s="6" t="s">
        <v>2393</v>
      </c>
      <c r="B28" s="7" t="s">
        <v>2394</v>
      </c>
      <c r="C28" s="8">
        <v>1</v>
      </c>
      <c r="D28" s="9">
        <v>54.99</v>
      </c>
      <c r="E28" s="8">
        <v>130412</v>
      </c>
      <c r="F28" s="7" t="s">
        <v>1762</v>
      </c>
      <c r="G28" s="10" t="s">
        <v>1466</v>
      </c>
      <c r="H28" s="7" t="s">
        <v>1562</v>
      </c>
      <c r="I28" s="7" t="s">
        <v>1842</v>
      </c>
      <c r="J28" s="7" t="s">
        <v>1461</v>
      </c>
      <c r="K28" s="7" t="s">
        <v>1564</v>
      </c>
      <c r="L28" s="11" t="str">
        <f>HYPERLINK("http://slimages.macys.com/is/image/MCY/15716697 ")</f>
        <v xml:space="preserve">http://slimages.macys.com/is/image/MCY/15716697 </v>
      </c>
    </row>
    <row r="29" spans="1:12" ht="39.950000000000003" customHeight="1" x14ac:dyDescent="0.25">
      <c r="A29" s="6" t="s">
        <v>2395</v>
      </c>
      <c r="B29" s="7" t="s">
        <v>2396</v>
      </c>
      <c r="C29" s="8">
        <v>1</v>
      </c>
      <c r="D29" s="9">
        <v>39.99</v>
      </c>
      <c r="E29" s="8" t="s">
        <v>2397</v>
      </c>
      <c r="F29" s="7" t="s">
        <v>2398</v>
      </c>
      <c r="G29" s="10" t="s">
        <v>1513</v>
      </c>
      <c r="H29" s="7" t="s">
        <v>1532</v>
      </c>
      <c r="I29" s="7" t="s">
        <v>1533</v>
      </c>
      <c r="J29" s="7" t="s">
        <v>1461</v>
      </c>
      <c r="K29" s="7" t="s">
        <v>1618</v>
      </c>
      <c r="L29" s="11" t="str">
        <f>HYPERLINK("http://slimages.macys.com/is/image/MCY/9513121 ")</f>
        <v xml:space="preserve">http://slimages.macys.com/is/image/MCY/9513121 </v>
      </c>
    </row>
    <row r="30" spans="1:12" ht="39.950000000000003" customHeight="1" x14ac:dyDescent="0.25">
      <c r="A30" s="6" t="s">
        <v>2399</v>
      </c>
      <c r="B30" s="7" t="s">
        <v>2400</v>
      </c>
      <c r="C30" s="8">
        <v>1</v>
      </c>
      <c r="D30" s="9">
        <v>39.99</v>
      </c>
      <c r="E30" s="8" t="s">
        <v>2401</v>
      </c>
      <c r="F30" s="7" t="s">
        <v>1482</v>
      </c>
      <c r="G30" s="10"/>
      <c r="H30" s="7" t="s">
        <v>1550</v>
      </c>
      <c r="I30" s="7" t="s">
        <v>2402</v>
      </c>
      <c r="J30" s="7" t="s">
        <v>1461</v>
      </c>
      <c r="K30" s="7"/>
      <c r="L30" s="11" t="str">
        <f>HYPERLINK("http://slimages.macys.com/is/image/MCY/16476396 ")</f>
        <v xml:space="preserve">http://slimages.macys.com/is/image/MCY/16476396 </v>
      </c>
    </row>
    <row r="31" spans="1:12" ht="39.950000000000003" customHeight="1" x14ac:dyDescent="0.25">
      <c r="A31" s="6" t="s">
        <v>2403</v>
      </c>
      <c r="B31" s="7" t="s">
        <v>2404</v>
      </c>
      <c r="C31" s="8">
        <v>2</v>
      </c>
      <c r="D31" s="9">
        <v>73.98</v>
      </c>
      <c r="E31" s="8" t="s">
        <v>2405</v>
      </c>
      <c r="F31" s="7" t="s">
        <v>1560</v>
      </c>
      <c r="G31" s="10" t="s">
        <v>2204</v>
      </c>
      <c r="H31" s="7" t="s">
        <v>1506</v>
      </c>
      <c r="I31" s="7" t="s">
        <v>1593</v>
      </c>
      <c r="J31" s="7" t="s">
        <v>1490</v>
      </c>
      <c r="K31" s="7" t="s">
        <v>2406</v>
      </c>
      <c r="L31" s="11" t="str">
        <f>HYPERLINK("http://slimages.macys.com/is/image/MCY/16368076 ")</f>
        <v xml:space="preserve">http://slimages.macys.com/is/image/MCY/16368076 </v>
      </c>
    </row>
    <row r="32" spans="1:12" ht="39.950000000000003" customHeight="1" x14ac:dyDescent="0.25">
      <c r="A32" s="6" t="s">
        <v>2407</v>
      </c>
      <c r="B32" s="7" t="s">
        <v>2408</v>
      </c>
      <c r="C32" s="8">
        <v>1</v>
      </c>
      <c r="D32" s="9">
        <v>89.99</v>
      </c>
      <c r="E32" s="8" t="s">
        <v>2409</v>
      </c>
      <c r="F32" s="7" t="s">
        <v>1477</v>
      </c>
      <c r="G32" s="10"/>
      <c r="H32" s="7" t="s">
        <v>1467</v>
      </c>
      <c r="I32" s="7" t="s">
        <v>1751</v>
      </c>
      <c r="J32" s="7" t="s">
        <v>1600</v>
      </c>
      <c r="K32" s="7" t="s">
        <v>2119</v>
      </c>
      <c r="L32" s="11" t="str">
        <f>HYPERLINK("http://slimages.macys.com/is/image/MCY/12354646 ")</f>
        <v xml:space="preserve">http://slimages.macys.com/is/image/MCY/12354646 </v>
      </c>
    </row>
    <row r="33" spans="1:12" ht="39.950000000000003" customHeight="1" x14ac:dyDescent="0.25">
      <c r="A33" s="6" t="s">
        <v>2410</v>
      </c>
      <c r="B33" s="7" t="s">
        <v>2411</v>
      </c>
      <c r="C33" s="8">
        <v>1</v>
      </c>
      <c r="D33" s="9">
        <v>29.99</v>
      </c>
      <c r="E33" s="8" t="s">
        <v>2412</v>
      </c>
      <c r="F33" s="7" t="s">
        <v>1458</v>
      </c>
      <c r="G33" s="10"/>
      <c r="H33" s="7" t="s">
        <v>1506</v>
      </c>
      <c r="I33" s="7" t="s">
        <v>1884</v>
      </c>
      <c r="J33" s="7" t="s">
        <v>1461</v>
      </c>
      <c r="K33" s="7"/>
      <c r="L33" s="11" t="str">
        <f>HYPERLINK("http://slimages.macys.com/is/image/MCY/9596171 ")</f>
        <v xml:space="preserve">http://slimages.macys.com/is/image/MCY/9596171 </v>
      </c>
    </row>
    <row r="34" spans="1:12" ht="39.950000000000003" customHeight="1" x14ac:dyDescent="0.25">
      <c r="A34" s="6" t="s">
        <v>2413</v>
      </c>
      <c r="B34" s="7" t="s">
        <v>2414</v>
      </c>
      <c r="C34" s="8">
        <v>1</v>
      </c>
      <c r="D34" s="9">
        <v>22.99</v>
      </c>
      <c r="E34" s="8" t="s">
        <v>2415</v>
      </c>
      <c r="F34" s="7" t="s">
        <v>2187</v>
      </c>
      <c r="G34" s="10"/>
      <c r="H34" s="7" t="s">
        <v>1605</v>
      </c>
      <c r="I34" s="7" t="s">
        <v>2225</v>
      </c>
      <c r="J34" s="7"/>
      <c r="K34" s="7"/>
      <c r="L34" s="11" t="str">
        <f>HYPERLINK("http://slimages.macys.com/is/image/MCY/18542802 ")</f>
        <v xml:space="preserve">http://slimages.macys.com/is/image/MCY/18542802 </v>
      </c>
    </row>
    <row r="35" spans="1:12" ht="39.950000000000003" customHeight="1" x14ac:dyDescent="0.25">
      <c r="A35" s="6" t="s">
        <v>2416</v>
      </c>
      <c r="B35" s="7" t="s">
        <v>2417</v>
      </c>
      <c r="C35" s="8">
        <v>1</v>
      </c>
      <c r="D35" s="9">
        <v>29.99</v>
      </c>
      <c r="E35" s="8" t="s">
        <v>2418</v>
      </c>
      <c r="F35" s="7" t="s">
        <v>1505</v>
      </c>
      <c r="G35" s="10" t="s">
        <v>1577</v>
      </c>
      <c r="H35" s="7" t="s">
        <v>1578</v>
      </c>
      <c r="I35" s="7" t="s">
        <v>1579</v>
      </c>
      <c r="J35" s="7" t="s">
        <v>1461</v>
      </c>
      <c r="K35" s="7" t="s">
        <v>1618</v>
      </c>
      <c r="L35" s="11" t="str">
        <f>HYPERLINK("http://slimages.macys.com/is/image/MCY/13285480 ")</f>
        <v xml:space="preserve">http://slimages.macys.com/is/image/MCY/13285480 </v>
      </c>
    </row>
    <row r="36" spans="1:12" ht="39.950000000000003" customHeight="1" x14ac:dyDescent="0.25">
      <c r="A36" s="6" t="s">
        <v>2419</v>
      </c>
      <c r="B36" s="7" t="s">
        <v>2420</v>
      </c>
      <c r="C36" s="8">
        <v>2</v>
      </c>
      <c r="D36" s="9">
        <v>59.98</v>
      </c>
      <c r="E36" s="8" t="s">
        <v>2421</v>
      </c>
      <c r="F36" s="7" t="s">
        <v>1544</v>
      </c>
      <c r="G36" s="10" t="s">
        <v>1577</v>
      </c>
      <c r="H36" s="7" t="s">
        <v>1578</v>
      </c>
      <c r="I36" s="7" t="s">
        <v>1579</v>
      </c>
      <c r="J36" s="7" t="s">
        <v>1461</v>
      </c>
      <c r="K36" s="7" t="s">
        <v>1618</v>
      </c>
      <c r="L36" s="11" t="str">
        <f>HYPERLINK("http://slimages.macys.com/is/image/MCY/13285480 ")</f>
        <v xml:space="preserve">http://slimages.macys.com/is/image/MCY/13285480 </v>
      </c>
    </row>
    <row r="37" spans="1:12" ht="39.950000000000003" customHeight="1" x14ac:dyDescent="0.25">
      <c r="A37" s="6" t="s">
        <v>2422</v>
      </c>
      <c r="B37" s="7" t="s">
        <v>2423</v>
      </c>
      <c r="C37" s="8">
        <v>1</v>
      </c>
      <c r="D37" s="9">
        <v>29.99</v>
      </c>
      <c r="E37" s="8" t="s">
        <v>2424</v>
      </c>
      <c r="F37" s="7" t="s">
        <v>1495</v>
      </c>
      <c r="G37" s="10" t="s">
        <v>1577</v>
      </c>
      <c r="H37" s="7" t="s">
        <v>1578</v>
      </c>
      <c r="I37" s="7" t="s">
        <v>1579</v>
      </c>
      <c r="J37" s="7" t="s">
        <v>1461</v>
      </c>
      <c r="K37" s="7" t="s">
        <v>1618</v>
      </c>
      <c r="L37" s="11" t="str">
        <f>HYPERLINK("http://slimages.macys.com/is/image/MCY/13285480 ")</f>
        <v xml:space="preserve">http://slimages.macys.com/is/image/MCY/13285480 </v>
      </c>
    </row>
    <row r="38" spans="1:12" ht="39.950000000000003" customHeight="1" x14ac:dyDescent="0.25">
      <c r="A38" s="6" t="s">
        <v>2425</v>
      </c>
      <c r="B38" s="7" t="s">
        <v>2426</v>
      </c>
      <c r="C38" s="8">
        <v>1</v>
      </c>
      <c r="D38" s="9">
        <v>34.99</v>
      </c>
      <c r="E38" s="8" t="s">
        <v>2427</v>
      </c>
      <c r="F38" s="7" t="s">
        <v>1458</v>
      </c>
      <c r="G38" s="10"/>
      <c r="H38" s="7" t="s">
        <v>1851</v>
      </c>
      <c r="I38" s="7" t="s">
        <v>1489</v>
      </c>
      <c r="J38" s="7"/>
      <c r="K38" s="7"/>
      <c r="L38" s="11" t="str">
        <f>HYPERLINK("http://slimages.macys.com/is/image/MCY/18753176 ")</f>
        <v xml:space="preserve">http://slimages.macys.com/is/image/MCY/18753176 </v>
      </c>
    </row>
    <row r="39" spans="1:12" ht="39.950000000000003" customHeight="1" x14ac:dyDescent="0.25">
      <c r="A39" s="6" t="s">
        <v>2428</v>
      </c>
      <c r="B39" s="7" t="s">
        <v>2429</v>
      </c>
      <c r="C39" s="8">
        <v>1</v>
      </c>
      <c r="D39" s="9">
        <v>41.99</v>
      </c>
      <c r="E39" s="8" t="s">
        <v>2430</v>
      </c>
      <c r="F39" s="7" t="s">
        <v>1651</v>
      </c>
      <c r="G39" s="10" t="s">
        <v>1850</v>
      </c>
      <c r="H39" s="7" t="s">
        <v>1851</v>
      </c>
      <c r="I39" s="7" t="s">
        <v>1852</v>
      </c>
      <c r="J39" s="7" t="s">
        <v>1600</v>
      </c>
      <c r="K39" s="7"/>
      <c r="L39" s="11" t="str">
        <f>HYPERLINK("http://slimages.macys.com/is/image/MCY/9406085 ")</f>
        <v xml:space="preserve">http://slimages.macys.com/is/image/MCY/9406085 </v>
      </c>
    </row>
    <row r="40" spans="1:12" ht="39.950000000000003" customHeight="1" x14ac:dyDescent="0.25">
      <c r="A40" s="6" t="s">
        <v>2431</v>
      </c>
      <c r="B40" s="7" t="s">
        <v>2432</v>
      </c>
      <c r="C40" s="8">
        <v>1</v>
      </c>
      <c r="D40" s="9">
        <v>17.989999999999998</v>
      </c>
      <c r="E40" s="8" t="s">
        <v>2433</v>
      </c>
      <c r="F40" s="7" t="s">
        <v>1458</v>
      </c>
      <c r="G40" s="10"/>
      <c r="H40" s="7" t="s">
        <v>1555</v>
      </c>
      <c r="I40" s="7" t="s">
        <v>2156</v>
      </c>
      <c r="J40" s="7" t="s">
        <v>1461</v>
      </c>
      <c r="K40" s="7" t="s">
        <v>2434</v>
      </c>
      <c r="L40" s="11" t="str">
        <f>HYPERLINK("http://slimages.macys.com/is/image/MCY/13743649 ")</f>
        <v xml:space="preserve">http://slimages.macys.com/is/image/MCY/13743649 </v>
      </c>
    </row>
    <row r="41" spans="1:12" ht="39.950000000000003" customHeight="1" x14ac:dyDescent="0.25">
      <c r="A41" s="6" t="s">
        <v>2435</v>
      </c>
      <c r="B41" s="7" t="s">
        <v>2436</v>
      </c>
      <c r="C41" s="8">
        <v>1</v>
      </c>
      <c r="D41" s="9">
        <v>18.989999999999998</v>
      </c>
      <c r="E41" s="8" t="s">
        <v>2159</v>
      </c>
      <c r="F41" s="7" t="s">
        <v>1458</v>
      </c>
      <c r="G41" s="10"/>
      <c r="H41" s="7" t="s">
        <v>1555</v>
      </c>
      <c r="I41" s="7" t="s">
        <v>1857</v>
      </c>
      <c r="J41" s="7" t="s">
        <v>1461</v>
      </c>
      <c r="K41" s="7" t="s">
        <v>1564</v>
      </c>
      <c r="L41" s="11" t="str">
        <f>HYPERLINK("http://slimages.macys.com/is/image/MCY/3153811 ")</f>
        <v xml:space="preserve">http://slimages.macys.com/is/image/MCY/3153811 </v>
      </c>
    </row>
    <row r="42" spans="1:12" ht="39.950000000000003" customHeight="1" x14ac:dyDescent="0.25">
      <c r="A42" s="6" t="s">
        <v>2437</v>
      </c>
      <c r="B42" s="7" t="s">
        <v>2438</v>
      </c>
      <c r="C42" s="8">
        <v>1</v>
      </c>
      <c r="D42" s="9">
        <v>15.99</v>
      </c>
      <c r="E42" s="8" t="s">
        <v>2439</v>
      </c>
      <c r="F42" s="7" t="s">
        <v>2440</v>
      </c>
      <c r="G42" s="10" t="s">
        <v>1561</v>
      </c>
      <c r="H42" s="7" t="s">
        <v>1555</v>
      </c>
      <c r="I42" s="7" t="s">
        <v>2441</v>
      </c>
      <c r="J42" s="7" t="s">
        <v>1461</v>
      </c>
      <c r="K42" s="7" t="s">
        <v>1564</v>
      </c>
      <c r="L42" s="11" t="str">
        <f>HYPERLINK("http://slimages.macys.com/is/image/MCY/13057621 ")</f>
        <v xml:space="preserve">http://slimages.macys.com/is/image/MCY/13057621 </v>
      </c>
    </row>
    <row r="43" spans="1:12" ht="39.950000000000003" customHeight="1" x14ac:dyDescent="0.25">
      <c r="A43" s="6" t="s">
        <v>2442</v>
      </c>
      <c r="B43" s="7" t="s">
        <v>2443</v>
      </c>
      <c r="C43" s="8">
        <v>1</v>
      </c>
      <c r="D43" s="9">
        <v>14.99</v>
      </c>
      <c r="E43" s="8">
        <v>48081</v>
      </c>
      <c r="F43" s="7" t="s">
        <v>1711</v>
      </c>
      <c r="G43" s="10"/>
      <c r="H43" s="7" t="s">
        <v>1506</v>
      </c>
      <c r="I43" s="7" t="s">
        <v>1583</v>
      </c>
      <c r="J43" s="7" t="s">
        <v>1461</v>
      </c>
      <c r="K43" s="7"/>
      <c r="L43" s="11" t="str">
        <f>HYPERLINK("http://slimages.macys.com/is/image/MCY/8759720 ")</f>
        <v xml:space="preserve">http://slimages.macys.com/is/image/MCY/8759720 </v>
      </c>
    </row>
    <row r="44" spans="1:12" ht="39.950000000000003" customHeight="1" x14ac:dyDescent="0.25">
      <c r="A44" s="6" t="s">
        <v>2444</v>
      </c>
      <c r="B44" s="7" t="s">
        <v>2445</v>
      </c>
      <c r="C44" s="8">
        <v>1</v>
      </c>
      <c r="D44" s="9">
        <v>19.989999999999998</v>
      </c>
      <c r="E44" s="8" t="s">
        <v>2446</v>
      </c>
      <c r="F44" s="7" t="s">
        <v>1458</v>
      </c>
      <c r="G44" s="10"/>
      <c r="H44" s="7" t="s">
        <v>1851</v>
      </c>
      <c r="I44" s="7" t="s">
        <v>1489</v>
      </c>
      <c r="J44" s="7" t="s">
        <v>1461</v>
      </c>
      <c r="K44" s="7"/>
      <c r="L44" s="11" t="str">
        <f>HYPERLINK("http://slimages.macys.com/is/image/MCY/15709914 ")</f>
        <v xml:space="preserve">http://slimages.macys.com/is/image/MCY/15709914 </v>
      </c>
    </row>
    <row r="45" spans="1:12" ht="39.950000000000003" customHeight="1" x14ac:dyDescent="0.25">
      <c r="A45" s="6" t="s">
        <v>2447</v>
      </c>
      <c r="B45" s="7" t="s">
        <v>2448</v>
      </c>
      <c r="C45" s="8">
        <v>2</v>
      </c>
      <c r="D45" s="9">
        <v>15.98</v>
      </c>
      <c r="E45" s="8" t="s">
        <v>2449</v>
      </c>
      <c r="F45" s="7" t="s">
        <v>1856</v>
      </c>
      <c r="G45" s="10" t="s">
        <v>1577</v>
      </c>
      <c r="H45" s="7" t="s">
        <v>1628</v>
      </c>
      <c r="I45" s="7" t="s">
        <v>1799</v>
      </c>
      <c r="J45" s="7" t="s">
        <v>1461</v>
      </c>
      <c r="K45" s="7" t="s">
        <v>1831</v>
      </c>
      <c r="L45" s="11" t="str">
        <f>HYPERLINK("http://slimages.macys.com/is/image/MCY/8402841 ")</f>
        <v xml:space="preserve">http://slimages.macys.com/is/image/MCY/8402841 </v>
      </c>
    </row>
    <row r="46" spans="1:12" ht="39.950000000000003" customHeight="1" x14ac:dyDescent="0.25">
      <c r="A46" s="6" t="s">
        <v>2450</v>
      </c>
      <c r="B46" s="7" t="s">
        <v>2451</v>
      </c>
      <c r="C46" s="8">
        <v>1</v>
      </c>
      <c r="D46" s="9">
        <v>13.99</v>
      </c>
      <c r="E46" s="8" t="s">
        <v>2452</v>
      </c>
      <c r="F46" s="7" t="s">
        <v>1519</v>
      </c>
      <c r="G46" s="10" t="s">
        <v>1644</v>
      </c>
      <c r="H46" s="7" t="s">
        <v>1578</v>
      </c>
      <c r="I46" s="7" t="s">
        <v>1579</v>
      </c>
      <c r="J46" s="7" t="s">
        <v>1461</v>
      </c>
      <c r="K46" s="7" t="s">
        <v>1623</v>
      </c>
      <c r="L46" s="11" t="str">
        <f>HYPERLINK("http://slimages.macys.com/is/image/MCY/3272675 ")</f>
        <v xml:space="preserve">http://slimages.macys.com/is/image/MCY/3272675 </v>
      </c>
    </row>
    <row r="47" spans="1:12" ht="39.950000000000003" customHeight="1" x14ac:dyDescent="0.25">
      <c r="A47" s="6" t="s">
        <v>2453</v>
      </c>
      <c r="B47" s="7" t="s">
        <v>2454</v>
      </c>
      <c r="C47" s="8">
        <v>1</v>
      </c>
      <c r="D47" s="9">
        <v>9.99</v>
      </c>
      <c r="E47" s="8" t="s">
        <v>2455</v>
      </c>
      <c r="F47" s="7" t="s">
        <v>1495</v>
      </c>
      <c r="G47" s="10" t="s">
        <v>1648</v>
      </c>
      <c r="H47" s="7" t="s">
        <v>1578</v>
      </c>
      <c r="I47" s="7" t="s">
        <v>1579</v>
      </c>
      <c r="J47" s="7" t="s">
        <v>1461</v>
      </c>
      <c r="K47" s="7" t="s">
        <v>1527</v>
      </c>
      <c r="L47" s="11" t="str">
        <f>HYPERLINK("http://slimages.macys.com/is/image/MCY/13285497 ")</f>
        <v xml:space="preserve">http://slimages.macys.com/is/image/MCY/13285497 </v>
      </c>
    </row>
    <row r="48" spans="1:12" ht="39.950000000000003" customHeight="1" x14ac:dyDescent="0.25">
      <c r="A48" s="6" t="s">
        <v>1649</v>
      </c>
      <c r="B48" s="7" t="s">
        <v>1650</v>
      </c>
      <c r="C48" s="8">
        <v>8</v>
      </c>
      <c r="D48" s="9">
        <v>320</v>
      </c>
      <c r="E48" s="8"/>
      <c r="F48" s="7" t="s">
        <v>1651</v>
      </c>
      <c r="G48" s="10" t="s">
        <v>1561</v>
      </c>
      <c r="H48" s="7" t="s">
        <v>1652</v>
      </c>
      <c r="I48" s="7" t="s">
        <v>1653</v>
      </c>
      <c r="J48" s="7"/>
      <c r="K48" s="7"/>
      <c r="L48" s="11"/>
    </row>
    <row r="49" spans="1:12" ht="39.950000000000003" customHeight="1" x14ac:dyDescent="0.25">
      <c r="A49" s="6"/>
      <c r="B49" s="7"/>
      <c r="C49" s="8"/>
      <c r="D49" s="9"/>
      <c r="E49" s="8"/>
      <c r="F49" s="7"/>
      <c r="G49" s="10"/>
      <c r="H49" s="7"/>
      <c r="I49" s="7"/>
      <c r="J49" s="7"/>
      <c r="K49" s="7"/>
      <c r="L49" s="11"/>
    </row>
    <row r="50" spans="1:12" ht="39.950000000000003" customHeight="1" x14ac:dyDescent="0.25">
      <c r="A50" s="6"/>
      <c r="B50" s="7"/>
      <c r="C50" s="8"/>
      <c r="D50" s="9"/>
      <c r="E50" s="8"/>
      <c r="F50" s="7"/>
      <c r="G50" s="10"/>
      <c r="H50" s="7"/>
      <c r="I50" s="7"/>
      <c r="J50" s="7"/>
      <c r="K50" s="7"/>
      <c r="L50" s="11"/>
    </row>
    <row r="51" spans="1:12" ht="39.950000000000003" customHeight="1" x14ac:dyDescent="0.25">
      <c r="A51" s="6"/>
      <c r="B51" s="7"/>
      <c r="C51" s="8"/>
      <c r="D51" s="9"/>
      <c r="E51" s="8"/>
      <c r="F51" s="7"/>
      <c r="G51" s="10"/>
      <c r="H51" s="7"/>
      <c r="I51" s="7"/>
      <c r="J51" s="7"/>
      <c r="K51" s="7"/>
      <c r="L51" s="11"/>
    </row>
    <row r="52" spans="1:12" ht="39.950000000000003" customHeight="1" x14ac:dyDescent="0.25">
      <c r="A52" s="6"/>
      <c r="B52" s="7"/>
      <c r="C52" s="8"/>
      <c r="D52" s="9"/>
      <c r="E52" s="8"/>
      <c r="F52" s="7"/>
      <c r="G52" s="10"/>
      <c r="H52" s="7"/>
      <c r="I52" s="7"/>
      <c r="J52" s="7"/>
      <c r="K52" s="7"/>
      <c r="L52" s="11"/>
    </row>
    <row r="53" spans="1:12" ht="39.950000000000003" customHeight="1" x14ac:dyDescent="0.25">
      <c r="A53" s="6"/>
      <c r="B53" s="7"/>
      <c r="C53" s="8"/>
      <c r="D53" s="9"/>
      <c r="E53" s="8"/>
      <c r="F53" s="7"/>
      <c r="G53" s="10"/>
      <c r="H53" s="7"/>
      <c r="I53" s="7"/>
      <c r="J53" s="7"/>
      <c r="K53" s="7"/>
      <c r="L53" s="11"/>
    </row>
    <row r="54" spans="1:12" ht="39.950000000000003" customHeight="1" x14ac:dyDescent="0.25">
      <c r="A54" s="6"/>
      <c r="B54" s="7"/>
      <c r="C54" s="8"/>
      <c r="D54" s="9"/>
      <c r="E54" s="8"/>
      <c r="F54" s="7"/>
      <c r="G54" s="10"/>
      <c r="H54" s="7"/>
      <c r="I54" s="7"/>
      <c r="J54" s="7"/>
      <c r="K54" s="7"/>
      <c r="L54" s="11"/>
    </row>
    <row r="55" spans="1:12" ht="39.950000000000003" customHeight="1" x14ac:dyDescent="0.25">
      <c r="A55" s="6"/>
      <c r="B55" s="7"/>
      <c r="C55" s="8"/>
      <c r="D55" s="9"/>
      <c r="E55" s="8"/>
      <c r="F55" s="7"/>
      <c r="G55" s="10"/>
      <c r="H55" s="7"/>
      <c r="I55" s="7"/>
      <c r="J55" s="7"/>
      <c r="K55" s="7"/>
      <c r="L55" s="11"/>
    </row>
    <row r="56" spans="1:12" ht="39.950000000000003" customHeight="1" x14ac:dyDescent="0.25">
      <c r="A56" s="6"/>
      <c r="B56" s="7"/>
      <c r="C56" s="8"/>
      <c r="D56" s="9"/>
      <c r="E56" s="8"/>
      <c r="F56" s="7"/>
      <c r="G56" s="10"/>
      <c r="H56" s="7"/>
      <c r="I56" s="7"/>
      <c r="J56" s="7"/>
      <c r="K56" s="7"/>
      <c r="L56" s="1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Summary </vt:lpstr>
      <vt:lpstr>Pallet 1</vt:lpstr>
      <vt:lpstr>Pallet 2</vt:lpstr>
      <vt:lpstr>Pallet 3</vt:lpstr>
      <vt:lpstr>Pallet 4</vt:lpstr>
      <vt:lpstr>Pallet 5</vt:lpstr>
      <vt:lpstr>Pallet 6</vt:lpstr>
      <vt:lpstr>Pallet 7</vt:lpstr>
      <vt:lpstr>Pallet 8</vt:lpstr>
      <vt:lpstr>Pallet 9</vt:lpstr>
      <vt:lpstr>Pallet 10</vt:lpstr>
      <vt:lpstr>Pallet 11</vt:lpstr>
      <vt:lpstr>Pallet 12</vt:lpstr>
      <vt:lpstr>Pallet 13</vt:lpstr>
      <vt:lpstr>Pallet 14</vt:lpstr>
      <vt:lpstr>Pallet 15</vt:lpstr>
      <vt:lpstr>Pallet 16</vt:lpstr>
      <vt:lpstr>Pallet 17</vt:lpstr>
      <vt:lpstr>Pallet 18</vt:lpstr>
      <vt:lpstr>Pallet 19</vt:lpstr>
      <vt:lpstr>Pallet 20</vt:lpstr>
      <vt:lpstr>Pallet 21</vt:lpstr>
      <vt:lpstr>Pallet 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2021-04-27T14:20:11Z</dcterms:created>
  <dcterms:modified xsi:type="dcterms:W3CDTF">2021-07-19T09:32:34Z</dcterms:modified>
</cp:coreProperties>
</file>